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'по форме'!$A$1:$I$244</definedName>
  </definedNames>
  <calcPr fullCalcOnLoad="1"/>
</workbook>
</file>

<file path=xl/sharedStrings.xml><?xml version="1.0" encoding="utf-8"?>
<sst xmlns="http://schemas.openxmlformats.org/spreadsheetml/2006/main" count="868" uniqueCount="376">
  <si>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</si>
  <si>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</si>
  <si>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</si>
  <si>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</si>
  <si>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6 раз в неделю</t>
  </si>
  <si>
    <t>ежедневно</t>
  </si>
  <si>
    <t>шт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</si>
  <si>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</si>
  <si>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</si>
  <si>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</si>
  <si>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</si>
  <si>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</si>
  <si>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5 раз в неделю</t>
  </si>
  <si>
    <t>1 раз в неделю</t>
  </si>
  <si>
    <t>3 раза в неделю</t>
  </si>
  <si>
    <t>Вывоз листвы с придомовой территории(весна,осень)</t>
  </si>
  <si>
    <t>2 раза в год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</si>
  <si>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</si>
  <si>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ежемесячно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</si>
  <si>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</si>
  <si>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</si>
  <si>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</si>
  <si>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</si>
  <si>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</si>
  <si>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</si>
  <si>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</si>
  <si>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</si>
  <si>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</si>
  <si>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</si>
  <si>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</si>
  <si>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</si>
  <si>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</si>
  <si>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</si>
  <si>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</si>
  <si>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</si>
  <si>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</si>
  <si>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</si>
  <si>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</si>
  <si>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</si>
  <si>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</si>
  <si>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</si>
  <si>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</si>
  <si>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</si>
  <si>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</si>
  <si>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</si>
  <si>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</si>
  <si>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</si>
  <si>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</si>
  <si>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</si>
  <si>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</si>
  <si>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</si>
  <si>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</si>
  <si>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</si>
  <si>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</si>
  <si>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</si>
  <si>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</si>
  <si>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</si>
  <si>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</si>
  <si>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</si>
  <si>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</si>
  <si>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</si>
  <si>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</si>
  <si>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</si>
  <si>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</si>
  <si>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</si>
  <si>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</si>
  <si>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</si>
  <si>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</si>
  <si>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</si>
  <si>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</si>
  <si>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</si>
  <si>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</si>
  <si>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</si>
  <si>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</si>
  <si>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</si>
  <si>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</si>
  <si>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</si>
  <si>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</si>
  <si>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</si>
  <si>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</si>
  <si>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</si>
  <si>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</si>
  <si>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23.2.1</t>
  </si>
  <si>
    <t>24.2.1</t>
  </si>
  <si>
    <t>25.2.1</t>
  </si>
  <si>
    <t>26.2.1</t>
  </si>
  <si>
    <t>23.2.3</t>
  </si>
  <si>
    <t>24.2.3</t>
  </si>
  <si>
    <t>25.2.3</t>
  </si>
  <si>
    <t>26.2.3</t>
  </si>
  <si>
    <t>1 раз в год</t>
  </si>
  <si>
    <t>21.9</t>
  </si>
  <si>
    <t>22.9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</si>
  <si>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</si>
  <si>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</si>
  <si>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</si>
  <si>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</si>
  <si>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</si>
  <si>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</si>
  <si>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</si>
  <si>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</si>
  <si>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</si>
  <si>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</si>
  <si>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</si>
  <si>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</si>
  <si>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</si>
  <si>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</si>
  <si>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</si>
  <si>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</si>
  <si>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</si>
  <si>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</si>
  <si>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</si>
  <si>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</si>
  <si>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</si>
  <si>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</si>
  <si>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</si>
  <si>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</si>
  <si>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</si>
  <si>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</si>
  <si>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</si>
  <si>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</si>
  <si>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</si>
  <si>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</si>
  <si>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</si>
  <si>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</si>
  <si>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</si>
  <si>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</si>
  <si>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</si>
  <si>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</si>
  <si>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</si>
  <si>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</si>
  <si>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</si>
  <si>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</si>
  <si>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</si>
  <si>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</si>
  <si>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</si>
  <si>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</si>
  <si>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</si>
  <si>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</si>
  <si>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</si>
  <si>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</si>
  <si>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</si>
  <si>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</si>
  <si>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</si>
  <si>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</si>
  <si>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</si>
  <si>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</si>
  <si>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</si>
  <si>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</si>
  <si>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</si>
  <si>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</si>
  <si>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</si>
  <si>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</si>
  <si>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</si>
  <si>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</si>
  <si>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</si>
  <si>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</si>
  <si>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</si>
  <si>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</si>
  <si>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</si>
  <si>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стоимость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</si>
  <si>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</si>
  <si>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</si>
  <si>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</si>
  <si>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</si>
  <si>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</si>
  <si>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</si>
  <si>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</si>
  <si>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</si>
  <si>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</si>
  <si>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</si>
  <si>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</si>
  <si>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</si>
  <si>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</si>
  <si>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</si>
  <si>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</si>
  <si>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факт</t>
  </si>
  <si>
    <t>Проведение технических осмотров и устранение незначительных неисправностей в системе вентиляции</t>
  </si>
  <si>
    <t>3 раза в год</t>
  </si>
  <si>
    <t>Снятие показаний приборов учета потребления электроэнергии (общедомовые)</t>
  </si>
  <si>
    <t>Замена осветительных лампочек помещений общего пользования</t>
  </si>
  <si>
    <t>Техническое обслуживание внутридомового газового оборудования</t>
  </si>
  <si>
    <t>Организация системы диспетчерского контроля и обеспечение диспетчерской связи с кабиной лифта; обеспечение проведения осмотров, технического обслуживания и ремонт лифтов, обеспечение проведения аварийного обслуживания лифтов</t>
  </si>
  <si>
    <t>Периодическое техническое освидетельствование лифта</t>
  </si>
  <si>
    <t>Влажное подметание лестничных площадок и маршей, коридоры и тамбура выше 3го этажа</t>
  </si>
  <si>
    <t>Подметание полов кабин лифта и влажная уборка</t>
  </si>
  <si>
    <t>Протирка стен, дверей в кабине лифта</t>
  </si>
  <si>
    <t>4 раза в год</t>
  </si>
  <si>
    <t xml:space="preserve">Дезинсекция </t>
  </si>
  <si>
    <t>Аварийное обслуживание</t>
  </si>
  <si>
    <t xml:space="preserve">Дератизация </t>
  </si>
  <si>
    <t>Сдвижка и подметание снега при отсутствии снегопада вручную</t>
  </si>
  <si>
    <t xml:space="preserve">Уборка мусора на контейнерной площадке </t>
  </si>
  <si>
    <t>Уборка от случайного мусора асфальтового покрытия, грунта, газонов</t>
  </si>
  <si>
    <t>Уборка  газонов от листьев, сучьев, мусора</t>
  </si>
  <si>
    <t>Сдвижка  снега при  снегопаде вручную</t>
  </si>
  <si>
    <t xml:space="preserve">Посыпка территории пескосоляной смесью </t>
  </si>
  <si>
    <t>Подметание вручную асфальтового покрытия</t>
  </si>
  <si>
    <t>Ликвидация наледи</t>
  </si>
  <si>
    <t>Выкашивание газонов</t>
  </si>
  <si>
    <t>тарифы общее по месяцам правильный</t>
  </si>
  <si>
    <t>Влажная протирка элеменотв лестничной клетки</t>
  </si>
  <si>
    <t>Удаление мусора и влажная уборка полов мусороприемных камер</t>
  </si>
  <si>
    <t>Мытье и протирка закрывающих устройств мусоропровода</t>
  </si>
  <si>
    <t>10 раз в год</t>
  </si>
  <si>
    <t>48 раз в год</t>
  </si>
  <si>
    <t>Механизированная уборка свежевыпавшего снега толщина слоя свыше 2 см</t>
  </si>
  <si>
    <t>40 раз в год</t>
  </si>
  <si>
    <t>25 раз в год</t>
  </si>
  <si>
    <t>ежедневно кроме воскресных и праздничных дней</t>
  </si>
  <si>
    <t>Влажное подметание лестничных площадок и маршей, тамбура</t>
  </si>
  <si>
    <t>Мытье полов лестничных площадок, маршей, тамбура</t>
  </si>
  <si>
    <t>в тарифе с 01.09 нет обслужив газ оборудования</t>
  </si>
  <si>
    <t>1 раз в месяц</t>
  </si>
  <si>
    <t>Поверка счетчика потребления холодной воды</t>
  </si>
  <si>
    <t>Осмотр линий электрических сетей, арматуры и электрооборудования. Проверка состояния линий электрических сетей и арматуры, групповых распределительных предохранительных щитов и переходных коробок, силовых установок на лестничных клетках</t>
  </si>
  <si>
    <t>Техническое обслуживание общедомовых счетчиков потребления холодной воды</t>
  </si>
  <si>
    <t>Техническое обслуживание СТЭ. Снятие показаний счетчика ГВС</t>
  </si>
  <si>
    <t>Проверка исправности, работоспособности, регулировка, консервация системы отопления и техническое обслуживание запорной арматуры и разводящих трубопроводов и оборудования в местах общего пользования.Удаление воздуха из системы отопления (в отопительный период).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систем. Проведение пробных пусконаладочных работ (пробные топки). Контроль состояния и восстановление исправности элементов внутренней канализации.</t>
  </si>
  <si>
    <t>в течении года</t>
  </si>
  <si>
    <t>Очистка кровли и водоотводящих устройств от мусора, грязи и наледи, препятствующих стоку дождевых и талых вод</t>
  </si>
  <si>
    <t>Технический осмотр элементов кровли</t>
  </si>
  <si>
    <t>Осмотры каменных стен фундаментов и фасадов зданий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</si>
  <si>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оборудованию-устранение выявленных нарушений</t>
  </si>
  <si>
    <t>Осмотры заполнений дверных и оконных проемов, лестниц. При выявлении повреждений и нарушений-разработка плана восстановительных работия</t>
  </si>
  <si>
    <t>Осмотры перекрытий</t>
  </si>
  <si>
    <t>Прочая работа (услуга)</t>
  </si>
  <si>
    <t>Услуги расчетного центра</t>
  </si>
  <si>
    <t>Работы (услуги) по управлению многоквартирным домом</t>
  </si>
  <si>
    <t>Услуги УК</t>
  </si>
  <si>
    <t>козырьки гревцева</t>
  </si>
  <si>
    <t xml:space="preserve">швы </t>
  </si>
  <si>
    <t>герметиз швов</t>
  </si>
  <si>
    <t>экономист</t>
  </si>
  <si>
    <t>31.03.2021 г.</t>
  </si>
  <si>
    <t>01.01.2020 г.</t>
  </si>
  <si>
    <t xml:space="preserve">Мытье окон </t>
  </si>
  <si>
    <t>Обметание пыли</t>
  </si>
  <si>
    <t>Отчет об исполнении управляющей организацией ООО "УК "Слобода" договора управления в период с 01.01.2020 г. по 30.04.2020 г. по дому № 3  ул. Плеханова в г. Липецке</t>
  </si>
  <si>
    <t>30.04.2020 г.</t>
  </si>
  <si>
    <t>23177- во второй период</t>
  </si>
  <si>
    <t>26774,76-2 период</t>
  </si>
  <si>
    <t>зевс 2020- 2 период</t>
  </si>
  <si>
    <t>23.2.2</t>
  </si>
  <si>
    <t>24.2.2</t>
  </si>
  <si>
    <t>25.2.2</t>
  </si>
  <si>
    <t>26.2.2</t>
  </si>
  <si>
    <t>21.3</t>
  </si>
  <si>
    <t>22.3</t>
  </si>
  <si>
    <t>23.3</t>
  </si>
  <si>
    <t>24.3</t>
  </si>
  <si>
    <t>25.3</t>
  </si>
  <si>
    <t>26.3</t>
  </si>
  <si>
    <t>21.4</t>
  </si>
  <si>
    <t>23.4.1</t>
  </si>
  <si>
    <t>24.4.1</t>
  </si>
  <si>
    <t>25.4.1</t>
  </si>
  <si>
    <t>26.4.1</t>
  </si>
  <si>
    <t>21.5</t>
  </si>
  <si>
    <t>22.5</t>
  </si>
  <si>
    <t>21.6</t>
  </si>
  <si>
    <t>22.6</t>
  </si>
  <si>
    <t>23.5.1</t>
  </si>
  <si>
    <t>24.5.1</t>
  </si>
  <si>
    <t>25.5.1</t>
  </si>
  <si>
    <t>26.5.1</t>
  </si>
  <si>
    <t>23.5.2</t>
  </si>
  <si>
    <t>24.5.2</t>
  </si>
  <si>
    <t>25.5.2</t>
  </si>
  <si>
    <t>26.5.2</t>
  </si>
  <si>
    <t>22.4</t>
  </si>
  <si>
    <t>22.2</t>
  </si>
  <si>
    <t>23.6.1</t>
  </si>
  <si>
    <t>24.6.1</t>
  </si>
  <si>
    <t>25.6.1</t>
  </si>
  <si>
    <t>26.6.1</t>
  </si>
  <si>
    <t>23.6.2</t>
  </si>
  <si>
    <t>24.6.2</t>
  </si>
  <si>
    <t>25.6.2</t>
  </si>
  <si>
    <t>26.6.2</t>
  </si>
  <si>
    <t>23.6.3</t>
  </si>
  <si>
    <t>24.6.3</t>
  </si>
  <si>
    <t>25.6.3</t>
  </si>
  <si>
    <t>26.6.3</t>
  </si>
  <si>
    <t>23.6.4</t>
  </si>
  <si>
    <t>24.6.4</t>
  </si>
  <si>
    <t>25.6.4</t>
  </si>
  <si>
    <t>26.6.4</t>
  </si>
  <si>
    <t>21.7</t>
  </si>
  <si>
    <t>22.7</t>
  </si>
  <si>
    <t>23.7</t>
  </si>
  <si>
    <t>24.7</t>
  </si>
  <si>
    <t>25.7</t>
  </si>
  <si>
    <t>26.7</t>
  </si>
  <si>
    <t>21.8</t>
  </si>
  <si>
    <t>22.8</t>
  </si>
  <si>
    <t>23.8</t>
  </si>
  <si>
    <t>24.8</t>
  </si>
  <si>
    <t>25.8</t>
  </si>
  <si>
    <t>26.8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</si>
  <si>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</si>
  <si>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</si>
  <si>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</si>
  <si>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</si>
  <si>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</si>
  <si>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</si>
  <si>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</si>
  <si>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</si>
  <si>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</si>
  <si>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</si>
  <si>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</si>
  <si>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</si>
  <si>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</si>
  <si>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</si>
  <si>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</si>
  <si>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</si>
  <si>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</si>
  <si>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</si>
  <si>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</si>
  <si>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</si>
  <si>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</si>
  <si>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</si>
  <si>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</si>
  <si>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</si>
  <si>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</si>
  <si>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</si>
  <si>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</si>
  <si>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</si>
  <si>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</si>
  <si>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</si>
  <si>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</si>
  <si>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</si>
  <si>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</si>
  <si>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</si>
  <si>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</si>
  <si>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</si>
  <si>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</si>
  <si>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</si>
  <si>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</si>
  <si>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</si>
  <si>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</si>
  <si>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</si>
  <si>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</si>
  <si>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</si>
  <si>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</si>
  <si>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</si>
  <si>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</si>
  <si>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</si>
  <si>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</si>
  <si>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</si>
  <si>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</si>
  <si>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</si>
  <si>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</si>
  <si>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</si>
  <si>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</si>
  <si>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</si>
  <si>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</si>
  <si>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</si>
  <si>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</si>
  <si>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</si>
  <si>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</si>
  <si>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</si>
  <si>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</si>
  <si>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</si>
  <si>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</si>
  <si>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</si>
  <si>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</si>
  <si>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</si>
  <si>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</si>
  <si>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</si>
  <si>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</si>
  <si>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</si>
  <si>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</si>
  <si>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</si>
  <si>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</si>
  <si>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22.12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</si>
</sst>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00000000"/>
    <numFmt numFmtId="184" formatCode="0.0000000000"/>
  </numFmts>
  <fonts count="4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0" fontId="29" fillId="0" borderId="0" applyNumberForma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9" fontId="24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184" fontId="43" fillId="0" borderId="0" xfId="0" applyNumberFormat="1" applyFont="1" applyFill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2" fontId="45" fillId="0" borderId="0" xfId="0" applyNumberFormat="1" applyFont="1" applyFill="1" applyAlignment="1">
      <alignment horizontal="center" vertical="center" wrapText="1"/>
    </xf>
    <xf numFmtId="2" fontId="43" fillId="0" borderId="0" xfId="0" applyNumberFormat="1" applyFont="1" applyFill="1" applyAlignment="1">
      <alignment horizontal="center" vertical="center" wrapText="1"/>
    </xf>
    <xf numFmtId="177" fontId="43" fillId="0" borderId="0" xfId="0" applyNumberFormat="1" applyFont="1" applyFill="1" applyAlignment="1">
      <alignment horizontal="center" vertical="center" wrapText="1"/>
    </xf>
    <xf numFmtId="180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top" wrapText="1"/>
    </xf>
    <xf numFmtId="4" fontId="43" fillId="0" borderId="12" xfId="0" applyNumberFormat="1" applyFont="1" applyFill="1" applyBorder="1" applyAlignment="1">
      <alignment horizontal="center" vertical="top" wrapText="1"/>
    </xf>
    <xf numFmtId="1" fontId="43" fillId="0" borderId="12" xfId="0" applyNumberFormat="1" applyFont="1" applyFill="1" applyBorder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55;&#1083;&#1077;&#1093;&#1072;&#1085;&#1086;&#1074;&#1072;,%20&#1076;.%203%20&#1079;&#1072;%20&#1075;&#1086;&#107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0\&#1058;&#1072;&#1088;&#1080;&#1092;%20&#1075;&#1086;&#1076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8">
          <cell r="DC8">
            <v>436803.57863999996</v>
          </cell>
        </row>
        <row r="11">
          <cell r="DC11">
            <v>25454.754</v>
          </cell>
        </row>
        <row r="13">
          <cell r="DC13">
            <v>25454.754</v>
          </cell>
        </row>
        <row r="27">
          <cell r="DC27">
            <v>678.79344</v>
          </cell>
        </row>
        <row r="37">
          <cell r="DC37">
            <v>15612.24912</v>
          </cell>
        </row>
        <row r="47">
          <cell r="DC47">
            <v>24775.96056</v>
          </cell>
        </row>
        <row r="48">
          <cell r="DC48">
            <v>66182.3604</v>
          </cell>
        </row>
        <row r="50">
          <cell r="DC50">
            <v>25794.15072</v>
          </cell>
        </row>
        <row r="51">
          <cell r="DC51">
            <v>5090.9508000000005</v>
          </cell>
        </row>
        <row r="52">
          <cell r="DC52">
            <v>35466.957239999996</v>
          </cell>
        </row>
        <row r="53">
          <cell r="DC53">
            <v>7975.8229200000005</v>
          </cell>
        </row>
        <row r="56">
          <cell r="DC56">
            <v>43782.17688</v>
          </cell>
        </row>
        <row r="57">
          <cell r="DC57">
            <v>128461.65852000001</v>
          </cell>
        </row>
        <row r="58">
          <cell r="DC58">
            <v>26812.340880000003</v>
          </cell>
        </row>
        <row r="59">
          <cell r="DC59">
            <v>13915.26552</v>
          </cell>
        </row>
        <row r="60">
          <cell r="DC60">
            <v>4072.7606400000004</v>
          </cell>
        </row>
        <row r="61">
          <cell r="DC61">
            <v>46497.350640000004</v>
          </cell>
        </row>
        <row r="67">
          <cell r="DC67">
            <v>5939.4426</v>
          </cell>
        </row>
        <row r="69">
          <cell r="DC69">
            <v>110134.23564</v>
          </cell>
        </row>
        <row r="72">
          <cell r="DC72">
            <v>2884.8721200000005</v>
          </cell>
        </row>
        <row r="76">
          <cell r="DC76">
            <v>3733.36392</v>
          </cell>
        </row>
        <row r="80">
          <cell r="DC80">
            <v>147467.87484</v>
          </cell>
        </row>
        <row r="84">
          <cell r="DC84">
            <v>435955.08684</v>
          </cell>
        </row>
        <row r="85">
          <cell r="DC85">
            <v>42763.98672</v>
          </cell>
        </row>
        <row r="86">
          <cell r="DC86">
            <v>9503.10816</v>
          </cell>
        </row>
        <row r="88">
          <cell r="DC88">
            <v>4242.459000000001</v>
          </cell>
        </row>
        <row r="91">
          <cell r="DC91">
            <v>120655.53396</v>
          </cell>
        </row>
        <row r="92">
          <cell r="DC92">
            <v>122352.51756000001</v>
          </cell>
        </row>
        <row r="93">
          <cell r="DC93">
            <v>1187.88852</v>
          </cell>
        </row>
        <row r="95">
          <cell r="DC95">
            <v>4242.459000000001</v>
          </cell>
        </row>
        <row r="97">
          <cell r="DC97">
            <v>169.69836</v>
          </cell>
        </row>
        <row r="98">
          <cell r="DC98">
            <v>169.69836</v>
          </cell>
        </row>
        <row r="100">
          <cell r="DC100">
            <v>169.69836</v>
          </cell>
        </row>
        <row r="101">
          <cell r="DC101">
            <v>169.69836</v>
          </cell>
        </row>
        <row r="102">
          <cell r="DC102">
            <v>2715.17376</v>
          </cell>
        </row>
        <row r="103">
          <cell r="DC103">
            <v>169.69836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66">
          <cell r="AC6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8">
        <row r="15">
          <cell r="D15">
            <v>0.017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BJ3">
            <v>14141.53</v>
          </cell>
        </row>
        <row r="37">
          <cell r="BJ37">
            <v>0.025022</v>
          </cell>
        </row>
        <row r="41">
          <cell r="BJ41">
            <v>0.03324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11341.63</v>
          </cell>
        </row>
        <row r="24">
          <cell r="D24">
            <v>-2062282.2298559127</v>
          </cell>
        </row>
        <row r="25">
          <cell r="D25">
            <v>272254.13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3">
        <row r="65">
          <cell r="E65">
            <v>305287.34964000003</v>
          </cell>
        </row>
        <row r="66">
          <cell r="E66">
            <v>461013.878</v>
          </cell>
        </row>
        <row r="67">
          <cell r="E67">
            <v>83944.12208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4"/>
  <sheetViews>
    <sheetView tabSelected="1" view="pageBreakPreview" zoomScale="80" zoomScaleNormal="60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9.140625" style="24" customWidth="1"/>
    <col min="2" max="2" width="62.421875" style="19" customWidth="1"/>
    <col min="3" max="3" width="24.28125" style="19" customWidth="1"/>
    <col min="4" max="4" width="62.7109375" style="19" customWidth="1"/>
    <col min="5" max="5" width="18.7109375" style="19" hidden="1" customWidth="1"/>
    <col min="6" max="6" width="20.28125" style="19" hidden="1" customWidth="1"/>
    <col min="7" max="7" width="19.421875" style="19" hidden="1" customWidth="1"/>
    <col min="8" max="8" width="14.7109375" style="19" hidden="1" customWidth="1"/>
    <col min="9" max="9" width="18.7109375" style="19" hidden="1" customWidth="1"/>
    <col min="10" max="10" width="28.7109375" style="19" hidden="1" customWidth="1"/>
    <col min="11" max="11" width="21.57421875" style="19" hidden="1" customWidth="1"/>
    <col min="12" max="12" width="11.7109375" style="19" hidden="1" customWidth="1"/>
    <col min="13" max="13" width="11.7109375" style="19" customWidth="1"/>
    <col min="14" max="23" width="9.140625" style="19" customWidth="1"/>
    <col min="24" max="16384" width="9.140625" style="2" customWidth="1"/>
  </cols>
  <sheetData>
    <row r="1" spans="5:9" ht="15.75">
      <c r="E1" s="19" t="s">
        <v>159</v>
      </c>
      <c r="I1" s="19" t="s">
        <v>159</v>
      </c>
    </row>
    <row r="2" spans="1:23" s="5" customFormat="1" ht="80.25" customHeight="1">
      <c r="A2" s="25" t="s">
        <v>238</v>
      </c>
      <c r="B2" s="25"/>
      <c r="C2" s="25"/>
      <c r="D2" s="25"/>
      <c r="E2" s="4">
        <v>14141.53</v>
      </c>
      <c r="F2" s="4"/>
      <c r="G2" s="4" t="s">
        <v>200</v>
      </c>
      <c r="H2" s="4"/>
      <c r="I2" s="4">
        <v>14141.53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ht="15.75">
      <c r="I3" s="19" t="s">
        <v>176</v>
      </c>
    </row>
    <row r="4" spans="1:4" ht="15.75">
      <c r="A4" s="6" t="s">
        <v>28</v>
      </c>
      <c r="B4" s="1" t="s">
        <v>29</v>
      </c>
      <c r="C4" s="1" t="s">
        <v>30</v>
      </c>
      <c r="D4" s="1" t="s">
        <v>31</v>
      </c>
    </row>
    <row r="5" spans="1:4" ht="15.75">
      <c r="A5" s="6" t="s">
        <v>34</v>
      </c>
      <c r="B5" s="1" t="s">
        <v>32</v>
      </c>
      <c r="C5" s="1" t="s">
        <v>33</v>
      </c>
      <c r="D5" s="1" t="s">
        <v>234</v>
      </c>
    </row>
    <row r="6" spans="1:4" ht="15.75">
      <c r="A6" s="6" t="s">
        <v>35</v>
      </c>
      <c r="B6" s="1" t="s">
        <v>36</v>
      </c>
      <c r="C6" s="1" t="s">
        <v>33</v>
      </c>
      <c r="D6" s="1" t="s">
        <v>235</v>
      </c>
    </row>
    <row r="7" spans="1:4" ht="15.75">
      <c r="A7" s="6" t="s">
        <v>22</v>
      </c>
      <c r="B7" s="1" t="s">
        <v>37</v>
      </c>
      <c r="C7" s="1" t="s">
        <v>33</v>
      </c>
      <c r="D7" s="1" t="s">
        <v>239</v>
      </c>
    </row>
    <row r="8" spans="1:4" ht="42.75" customHeight="1">
      <c r="A8" s="22" t="s">
        <v>69</v>
      </c>
      <c r="B8" s="22"/>
      <c r="C8" s="22"/>
      <c r="D8" s="22"/>
    </row>
    <row r="9" spans="1:4" ht="15.75">
      <c r="A9" s="6" t="s">
        <v>23</v>
      </c>
      <c r="B9" s="1" t="s">
        <v>38</v>
      </c>
      <c r="C9" s="1" t="s">
        <v>39</v>
      </c>
      <c r="D9" s="11">
        <f>'[5]по форме'!$D$23</f>
        <v>11341.63</v>
      </c>
    </row>
    <row r="10" spans="1:6" ht="24" customHeight="1">
      <c r="A10" s="6" t="s">
        <v>24</v>
      </c>
      <c r="B10" s="1" t="s">
        <v>40</v>
      </c>
      <c r="C10" s="1" t="s">
        <v>39</v>
      </c>
      <c r="D10" s="11">
        <f>'[5]по форме'!$D$24</f>
        <v>-2062282.2298559127</v>
      </c>
      <c r="F10" s="12"/>
    </row>
    <row r="11" spans="1:4" ht="15.75">
      <c r="A11" s="6" t="s">
        <v>41</v>
      </c>
      <c r="B11" s="1" t="s">
        <v>42</v>
      </c>
      <c r="C11" s="1" t="s">
        <v>39</v>
      </c>
      <c r="D11" s="11">
        <f>'[5]по форме'!$D$25</f>
        <v>272254.13</v>
      </c>
    </row>
    <row r="12" spans="1:9" ht="31.5">
      <c r="A12" s="6" t="s">
        <v>43</v>
      </c>
      <c r="B12" s="1" t="s">
        <v>44</v>
      </c>
      <c r="C12" s="1" t="s">
        <v>39</v>
      </c>
      <c r="D12" s="11">
        <f>D13+D14+D15</f>
        <v>850245.34972</v>
      </c>
      <c r="E12" s="12">
        <f>D12+97000</f>
        <v>947245.34972</v>
      </c>
      <c r="I12" s="19">
        <f>G12+97000</f>
        <v>97000</v>
      </c>
    </row>
    <row r="13" spans="1:4" ht="15.75">
      <c r="A13" s="6" t="s">
        <v>60</v>
      </c>
      <c r="B13" s="26" t="s">
        <v>45</v>
      </c>
      <c r="C13" s="1" t="s">
        <v>39</v>
      </c>
      <c r="D13" s="11">
        <f>'[6]Плеханова 3 с 01.09.18'!$E$66</f>
        <v>461013.878</v>
      </c>
    </row>
    <row r="14" spans="1:4" ht="15.75">
      <c r="A14" s="6" t="s">
        <v>61</v>
      </c>
      <c r="B14" s="26" t="s">
        <v>46</v>
      </c>
      <c r="C14" s="1" t="s">
        <v>39</v>
      </c>
      <c r="D14" s="11">
        <f>'[6]Плеханова 3 с 01.09.18'!$E$65</f>
        <v>305287.34964000003</v>
      </c>
    </row>
    <row r="15" spans="1:4" ht="15.75">
      <c r="A15" s="6" t="s">
        <v>62</v>
      </c>
      <c r="B15" s="26" t="s">
        <v>47</v>
      </c>
      <c r="C15" s="1" t="s">
        <v>39</v>
      </c>
      <c r="D15" s="11">
        <f>'[6]Плеханова 3 с 01.09.18'!$E$67</f>
        <v>83944.12208</v>
      </c>
    </row>
    <row r="16" spans="1:5" ht="15.75">
      <c r="A16" s="26" t="s">
        <v>48</v>
      </c>
      <c r="B16" s="26" t="s">
        <v>49</v>
      </c>
      <c r="C16" s="26" t="s">
        <v>39</v>
      </c>
      <c r="D16" s="27">
        <f>D17</f>
        <v>571875.99972</v>
      </c>
      <c r="E16" s="19">
        <v>204669.83</v>
      </c>
    </row>
    <row r="17" spans="1:4" ht="31.5">
      <c r="A17" s="26" t="s">
        <v>25</v>
      </c>
      <c r="B17" s="26" t="s">
        <v>63</v>
      </c>
      <c r="C17" s="26" t="s">
        <v>39</v>
      </c>
      <c r="D17" s="27">
        <f>D12-D25+D228+D244</f>
        <v>571875.99972</v>
      </c>
    </row>
    <row r="18" spans="1:4" ht="31.5">
      <c r="A18" s="26" t="s">
        <v>50</v>
      </c>
      <c r="B18" s="26" t="s">
        <v>64</v>
      </c>
      <c r="C18" s="26" t="s">
        <v>39</v>
      </c>
      <c r="D18" s="27">
        <v>0</v>
      </c>
    </row>
    <row r="19" spans="1:4" ht="15.75">
      <c r="A19" s="26" t="s">
        <v>26</v>
      </c>
      <c r="B19" s="26" t="s">
        <v>51</v>
      </c>
      <c r="C19" s="26" t="s">
        <v>39</v>
      </c>
      <c r="D19" s="27">
        <v>0</v>
      </c>
    </row>
    <row r="20" spans="1:4" ht="15.75">
      <c r="A20" s="26" t="s">
        <v>27</v>
      </c>
      <c r="B20" s="26" t="s">
        <v>52</v>
      </c>
      <c r="C20" s="26" t="s">
        <v>39</v>
      </c>
      <c r="D20" s="27">
        <v>0</v>
      </c>
    </row>
    <row r="21" spans="1:4" ht="15.75">
      <c r="A21" s="26" t="s">
        <v>53</v>
      </c>
      <c r="B21" s="26" t="s">
        <v>54</v>
      </c>
      <c r="C21" s="26" t="s">
        <v>39</v>
      </c>
      <c r="D21" s="27">
        <v>0</v>
      </c>
    </row>
    <row r="22" spans="1:4" ht="15.75">
      <c r="A22" s="26" t="s">
        <v>55</v>
      </c>
      <c r="B22" s="26" t="s">
        <v>56</v>
      </c>
      <c r="C22" s="26" t="s">
        <v>39</v>
      </c>
      <c r="D22" s="27">
        <f>D16+D10+D9</f>
        <v>-1479064.600135913</v>
      </c>
    </row>
    <row r="23" spans="1:4" ht="15.75">
      <c r="A23" s="26" t="s">
        <v>57</v>
      </c>
      <c r="B23" s="26" t="s">
        <v>65</v>
      </c>
      <c r="C23" s="26" t="s">
        <v>39</v>
      </c>
      <c r="D23" s="27">
        <v>6931.67</v>
      </c>
    </row>
    <row r="24" spans="1:4" ht="15.75">
      <c r="A24" s="26" t="s">
        <v>58</v>
      </c>
      <c r="B24" s="26" t="s">
        <v>66</v>
      </c>
      <c r="C24" s="26" t="s">
        <v>39</v>
      </c>
      <c r="D24" s="27">
        <f>D22-D223</f>
        <v>-2243737.935459353</v>
      </c>
    </row>
    <row r="25" spans="1:9" ht="15.75">
      <c r="A25" s="26" t="s">
        <v>59</v>
      </c>
      <c r="B25" s="26" t="s">
        <v>67</v>
      </c>
      <c r="C25" s="26" t="s">
        <v>39</v>
      </c>
      <c r="D25" s="27">
        <v>275210.04</v>
      </c>
      <c r="E25" s="12"/>
      <c r="I25" s="12">
        <f>296449.23</f>
        <v>296449.23</v>
      </c>
    </row>
    <row r="26" spans="1:10" ht="35.25" customHeight="1">
      <c r="A26" s="22" t="s">
        <v>68</v>
      </c>
      <c r="B26" s="22"/>
      <c r="C26" s="22"/>
      <c r="D26" s="22"/>
      <c r="J26" s="10">
        <v>0.8928571428571429</v>
      </c>
    </row>
    <row r="27" spans="1:23" s="5" customFormat="1" ht="31.5">
      <c r="A27" s="20" t="s">
        <v>79</v>
      </c>
      <c r="B27" s="3" t="s">
        <v>70</v>
      </c>
      <c r="C27" s="3" t="s">
        <v>33</v>
      </c>
      <c r="D27" s="3" t="s">
        <v>0</v>
      </c>
      <c r="E27" s="4"/>
      <c r="F27" s="4"/>
      <c r="G27" s="4"/>
      <c r="H27" s="4"/>
      <c r="I27" s="4"/>
      <c r="J27" s="10">
        <v>0.8928571428571429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10" ht="15.75">
      <c r="A28" s="6" t="s">
        <v>75</v>
      </c>
      <c r="B28" s="1" t="s">
        <v>71</v>
      </c>
      <c r="C28" s="1" t="s">
        <v>39</v>
      </c>
      <c r="D28" s="11">
        <f>E28</f>
        <v>52412.57</v>
      </c>
      <c r="E28" s="15">
        <v>52412.57</v>
      </c>
      <c r="F28" s="12"/>
      <c r="G28" s="12">
        <f>'[1]ук(2016)'!$DC$80</f>
        <v>147467.87484</v>
      </c>
      <c r="H28" s="12"/>
      <c r="I28" s="4">
        <f>150183.05</f>
        <v>150183.05</v>
      </c>
      <c r="J28" s="10">
        <v>0.8928571428571429</v>
      </c>
    </row>
    <row r="29" spans="1:10" ht="31.5">
      <c r="A29" s="6" t="s">
        <v>76</v>
      </c>
      <c r="B29" s="1" t="s">
        <v>72</v>
      </c>
      <c r="C29" s="1" t="s">
        <v>33</v>
      </c>
      <c r="D29" s="1" t="s">
        <v>189</v>
      </c>
      <c r="E29" s="4"/>
      <c r="I29" s="4"/>
      <c r="J29" s="10">
        <v>0.8928571428571429</v>
      </c>
    </row>
    <row r="30" spans="1:10" ht="15.75">
      <c r="A30" s="6" t="s">
        <v>77</v>
      </c>
      <c r="B30" s="1" t="s">
        <v>73</v>
      </c>
      <c r="C30" s="1" t="s">
        <v>33</v>
      </c>
      <c r="D30" s="1" t="s">
        <v>1</v>
      </c>
      <c r="E30" s="4"/>
      <c r="I30" s="4"/>
      <c r="J30" s="10">
        <v>0.8928571428571429</v>
      </c>
    </row>
    <row r="31" spans="1:10" ht="15.75">
      <c r="A31" s="6" t="s">
        <v>78</v>
      </c>
      <c r="B31" s="1" t="s">
        <v>30</v>
      </c>
      <c r="C31" s="1" t="s">
        <v>33</v>
      </c>
      <c r="D31" s="1" t="s">
        <v>2</v>
      </c>
      <c r="E31" s="4"/>
      <c r="I31" s="4"/>
      <c r="J31" s="10">
        <v>0.8928571428571429</v>
      </c>
    </row>
    <row r="32" spans="1:10" ht="15.75">
      <c r="A32" s="6" t="s">
        <v>80</v>
      </c>
      <c r="B32" s="1" t="s">
        <v>74</v>
      </c>
      <c r="C32" s="1" t="s">
        <v>39</v>
      </c>
      <c r="D32" s="7">
        <f>E28/E2</f>
        <v>3.7062870849193827</v>
      </c>
      <c r="E32" s="4"/>
      <c r="I32" s="4"/>
      <c r="J32" s="10">
        <v>0.8928571428571429</v>
      </c>
    </row>
    <row r="33" spans="1:23" s="5" customFormat="1" ht="31.5">
      <c r="A33" s="20" t="s">
        <v>81</v>
      </c>
      <c r="B33" s="3" t="s">
        <v>70</v>
      </c>
      <c r="C33" s="3" t="s">
        <v>33</v>
      </c>
      <c r="D33" s="3" t="s">
        <v>3</v>
      </c>
      <c r="E33" s="4" t="s">
        <v>160</v>
      </c>
      <c r="F33" s="4"/>
      <c r="G33" s="4"/>
      <c r="H33" s="4"/>
      <c r="I33" s="4" t="s">
        <v>160</v>
      </c>
      <c r="J33" s="10">
        <v>0.8928571428571429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10" ht="15.75">
      <c r="A34" s="6" t="s">
        <v>271</v>
      </c>
      <c r="B34" s="1" t="s">
        <v>71</v>
      </c>
      <c r="C34" s="1" t="s">
        <v>39</v>
      </c>
      <c r="D34" s="11">
        <f>E35+E43+E47+E51+E55+E39</f>
        <v>36924.82</v>
      </c>
      <c r="J34" s="10">
        <v>0.8928571428571429</v>
      </c>
    </row>
    <row r="35" spans="1:10" ht="31.5">
      <c r="A35" s="6" t="s">
        <v>82</v>
      </c>
      <c r="B35" s="1" t="s">
        <v>72</v>
      </c>
      <c r="C35" s="1" t="s">
        <v>33</v>
      </c>
      <c r="D35" s="1" t="s">
        <v>211</v>
      </c>
      <c r="E35" s="19">
        <v>5090.95</v>
      </c>
      <c r="G35" s="12">
        <f>'[1]ук(2016)'!$DC$93</f>
        <v>1187.88852</v>
      </c>
      <c r="I35" s="19">
        <f>2961.64+622.23</f>
        <v>3583.87</v>
      </c>
      <c r="J35" s="10">
        <v>0.8928571428571429</v>
      </c>
    </row>
    <row r="36" spans="1:10" ht="15.75">
      <c r="A36" s="6" t="s">
        <v>83</v>
      </c>
      <c r="B36" s="1" t="s">
        <v>73</v>
      </c>
      <c r="C36" s="1" t="s">
        <v>33</v>
      </c>
      <c r="D36" s="1" t="s">
        <v>16</v>
      </c>
      <c r="J36" s="10">
        <v>0.8928571428571429</v>
      </c>
    </row>
    <row r="37" spans="1:10" ht="15.75">
      <c r="A37" s="6" t="s">
        <v>84</v>
      </c>
      <c r="B37" s="1" t="s">
        <v>30</v>
      </c>
      <c r="C37" s="1" t="s">
        <v>33</v>
      </c>
      <c r="D37" s="1" t="s">
        <v>2</v>
      </c>
      <c r="J37" s="10">
        <v>0.8928571428571429</v>
      </c>
    </row>
    <row r="38" spans="1:10" ht="15.75">
      <c r="A38" s="6" t="s">
        <v>85</v>
      </c>
      <c r="B38" s="1" t="s">
        <v>74</v>
      </c>
      <c r="C38" s="1" t="s">
        <v>39</v>
      </c>
      <c r="D38" s="13">
        <f>E35/E2</f>
        <v>0.35999994342903485</v>
      </c>
      <c r="J38" s="10">
        <v>0.8928571428571429</v>
      </c>
    </row>
    <row r="39" spans="1:10" ht="31.5">
      <c r="A39" s="6" t="s">
        <v>243</v>
      </c>
      <c r="B39" s="1" t="s">
        <v>72</v>
      </c>
      <c r="C39" s="1" t="s">
        <v>33</v>
      </c>
      <c r="D39" s="1" t="s">
        <v>237</v>
      </c>
      <c r="E39" s="19">
        <v>0</v>
      </c>
      <c r="F39" s="19">
        <f>3348.69</f>
        <v>3348.69</v>
      </c>
      <c r="G39" s="12">
        <f>'[1]ук(2016)'!$DC$102</f>
        <v>2715.17376</v>
      </c>
      <c r="H39" s="12"/>
      <c r="I39" s="19">
        <f>42300.14+72130.29</f>
        <v>114430.43</v>
      </c>
      <c r="J39" s="10">
        <v>0.8928571428571429</v>
      </c>
    </row>
    <row r="40" spans="1:10" ht="15.75">
      <c r="A40" s="6" t="s">
        <v>244</v>
      </c>
      <c r="B40" s="1" t="s">
        <v>73</v>
      </c>
      <c r="C40" s="1" t="s">
        <v>33</v>
      </c>
      <c r="D40" s="1" t="s">
        <v>90</v>
      </c>
      <c r="J40" s="10">
        <v>0.8928571428571429</v>
      </c>
    </row>
    <row r="41" spans="1:10" ht="15.75">
      <c r="A41" s="6" t="s">
        <v>245</v>
      </c>
      <c r="B41" s="1" t="s">
        <v>30</v>
      </c>
      <c r="C41" s="1" t="s">
        <v>33</v>
      </c>
      <c r="D41" s="1" t="s">
        <v>2</v>
      </c>
      <c r="J41" s="10">
        <v>0.8928571428571429</v>
      </c>
    </row>
    <row r="42" spans="1:10" ht="15.75">
      <c r="A42" s="6" t="s">
        <v>246</v>
      </c>
      <c r="B42" s="1" t="s">
        <v>74</v>
      </c>
      <c r="C42" s="1" t="s">
        <v>39</v>
      </c>
      <c r="D42" s="7">
        <f>E39/E2</f>
        <v>0</v>
      </c>
      <c r="J42" s="10">
        <v>0.8928571428571429</v>
      </c>
    </row>
    <row r="43" spans="1:10" ht="31.5" hidden="1">
      <c r="A43" s="6" t="s">
        <v>86</v>
      </c>
      <c r="B43" s="1" t="s">
        <v>72</v>
      </c>
      <c r="C43" s="1" t="s">
        <v>33</v>
      </c>
      <c r="D43" s="1" t="s">
        <v>184</v>
      </c>
      <c r="E43" s="12"/>
      <c r="F43" s="19">
        <f>149237.42*J43</f>
        <v>133247.69642857145</v>
      </c>
      <c r="G43" s="12">
        <f>'[1]ук(2016)'!$DC$92</f>
        <v>122352.51756000001</v>
      </c>
      <c r="H43" s="19">
        <f>72130.29+31725.11</f>
        <v>103855.4</v>
      </c>
      <c r="I43" s="19">
        <f>42300.14+72130.29</f>
        <v>114430.43</v>
      </c>
      <c r="J43" s="10">
        <v>0.8928571428571429</v>
      </c>
    </row>
    <row r="44" spans="1:10" ht="15.75" hidden="1">
      <c r="A44" s="6" t="s">
        <v>87</v>
      </c>
      <c r="B44" s="1" t="s">
        <v>73</v>
      </c>
      <c r="C44" s="1" t="s">
        <v>33</v>
      </c>
      <c r="D44" s="1" t="s">
        <v>13</v>
      </c>
      <c r="J44" s="10">
        <v>0.8928571428571429</v>
      </c>
    </row>
    <row r="45" spans="1:10" ht="15.75" hidden="1">
      <c r="A45" s="6" t="s">
        <v>88</v>
      </c>
      <c r="B45" s="1" t="s">
        <v>30</v>
      </c>
      <c r="C45" s="1" t="s">
        <v>33</v>
      </c>
      <c r="D45" s="1" t="s">
        <v>2</v>
      </c>
      <c r="J45" s="10">
        <v>0.8928571428571429</v>
      </c>
    </row>
    <row r="46" spans="1:10" ht="15.75" hidden="1">
      <c r="A46" s="6" t="s">
        <v>89</v>
      </c>
      <c r="B46" s="1" t="s">
        <v>74</v>
      </c>
      <c r="C46" s="1" t="s">
        <v>39</v>
      </c>
      <c r="D46" s="11">
        <f>E43/E2</f>
        <v>0</v>
      </c>
      <c r="J46" s="10">
        <v>0.8928571428571429</v>
      </c>
    </row>
    <row r="47" spans="1:10" ht="31.5">
      <c r="A47" s="6" t="s">
        <v>162</v>
      </c>
      <c r="B47" s="1" t="s">
        <v>72</v>
      </c>
      <c r="C47" s="1" t="s">
        <v>33</v>
      </c>
      <c r="D47" s="1" t="s">
        <v>210</v>
      </c>
      <c r="E47" s="12">
        <v>31579.32</v>
      </c>
      <c r="F47" s="19">
        <f>147022.21*J47</f>
        <v>131269.83035714287</v>
      </c>
      <c r="G47" s="12">
        <f>'[1]ук(2016)'!$DC$91</f>
        <v>120655.53396</v>
      </c>
      <c r="H47" s="19">
        <f>31075.6+71109.27</f>
        <v>102184.87</v>
      </c>
      <c r="I47" s="19">
        <f>41493.67+71109.27</f>
        <v>112602.94</v>
      </c>
      <c r="J47" s="10">
        <v>0.8928571428571429</v>
      </c>
    </row>
    <row r="48" spans="1:10" ht="15.75">
      <c r="A48" s="6" t="s">
        <v>163</v>
      </c>
      <c r="B48" s="1" t="s">
        <v>73</v>
      </c>
      <c r="C48" s="1" t="s">
        <v>33</v>
      </c>
      <c r="D48" s="1" t="s">
        <v>14</v>
      </c>
      <c r="J48" s="10">
        <v>0.8928571428571429</v>
      </c>
    </row>
    <row r="49" spans="1:10" ht="15.75">
      <c r="A49" s="6" t="s">
        <v>164</v>
      </c>
      <c r="B49" s="1" t="s">
        <v>30</v>
      </c>
      <c r="C49" s="1" t="s">
        <v>33</v>
      </c>
      <c r="D49" s="1" t="s">
        <v>2</v>
      </c>
      <c r="J49" s="10">
        <v>0.8928571428571429</v>
      </c>
    </row>
    <row r="50" spans="1:10" ht="15.75">
      <c r="A50" s="6" t="s">
        <v>165</v>
      </c>
      <c r="B50" s="1" t="s">
        <v>74</v>
      </c>
      <c r="C50" s="1" t="s">
        <v>39</v>
      </c>
      <c r="D50" s="13">
        <f>E47/E2</f>
        <v>2.233090761749259</v>
      </c>
      <c r="J50" s="10">
        <v>0.8928571428571429</v>
      </c>
    </row>
    <row r="51" spans="1:10" ht="31.5">
      <c r="A51" s="6" t="s">
        <v>166</v>
      </c>
      <c r="B51" s="1" t="s">
        <v>72</v>
      </c>
      <c r="C51" s="1" t="s">
        <v>33</v>
      </c>
      <c r="D51" s="13" t="s">
        <v>201</v>
      </c>
      <c r="E51" s="12">
        <v>254.55</v>
      </c>
      <c r="F51" s="19">
        <f>957.93</f>
        <v>957.93</v>
      </c>
      <c r="G51" s="12">
        <f>'[1]ук(2016)'!$DC$97+'[1]ук(2016)'!$DC$98+'[1]ук(2016)'!$DC$100+'[1]ук(2016)'!$DC$101+'[1]ук(2016)'!$DC$103</f>
        <v>848.4918</v>
      </c>
      <c r="H51" s="19">
        <v>834.35</v>
      </c>
      <c r="I51" s="19">
        <v>834.35</v>
      </c>
      <c r="J51" s="10">
        <v>0.8928571428571429</v>
      </c>
    </row>
    <row r="52" spans="1:10" ht="15.75">
      <c r="A52" s="6" t="s">
        <v>167</v>
      </c>
      <c r="B52" s="1" t="s">
        <v>73</v>
      </c>
      <c r="C52" s="1" t="s">
        <v>33</v>
      </c>
      <c r="D52" s="13" t="s">
        <v>16</v>
      </c>
      <c r="J52" s="10">
        <v>0.8928571428571429</v>
      </c>
    </row>
    <row r="53" spans="1:10" ht="15.75">
      <c r="A53" s="6" t="s">
        <v>168</v>
      </c>
      <c r="B53" s="1" t="s">
        <v>30</v>
      </c>
      <c r="C53" s="1" t="s">
        <v>33</v>
      </c>
      <c r="D53" s="13" t="s">
        <v>2</v>
      </c>
      <c r="J53" s="10">
        <v>0.8928571428571429</v>
      </c>
    </row>
    <row r="54" spans="1:10" ht="15.75">
      <c r="A54" s="6" t="s">
        <v>169</v>
      </c>
      <c r="B54" s="1" t="s">
        <v>74</v>
      </c>
      <c r="C54" s="1" t="s">
        <v>39</v>
      </c>
      <c r="D54" s="23">
        <f>E51/E2</f>
        <v>0.018000173955717663</v>
      </c>
      <c r="J54" s="10">
        <v>0.8928571428571429</v>
      </c>
    </row>
    <row r="55" spans="1:10" ht="31.5">
      <c r="A55" s="6" t="s">
        <v>170</v>
      </c>
      <c r="B55" s="1" t="s">
        <v>72</v>
      </c>
      <c r="C55" s="1" t="s">
        <v>33</v>
      </c>
      <c r="D55" s="13" t="s">
        <v>236</v>
      </c>
      <c r="E55" s="12">
        <v>0</v>
      </c>
      <c r="F55" s="19">
        <v>5108.96</v>
      </c>
      <c r="G55" s="12">
        <f>'[1]ук(2016)'!$DC$95</f>
        <v>4242.459000000001</v>
      </c>
      <c r="H55" s="19">
        <v>4157.61</v>
      </c>
      <c r="I55" s="19">
        <v>4157.61</v>
      </c>
      <c r="J55" s="10">
        <v>0.8928571428571429</v>
      </c>
    </row>
    <row r="56" spans="1:10" ht="15.75">
      <c r="A56" s="6" t="s">
        <v>171</v>
      </c>
      <c r="B56" s="1" t="s">
        <v>73</v>
      </c>
      <c r="C56" s="1" t="s">
        <v>33</v>
      </c>
      <c r="D56" s="13" t="s">
        <v>90</v>
      </c>
      <c r="J56" s="10">
        <v>0.8928571428571429</v>
      </c>
    </row>
    <row r="57" spans="1:10" ht="15.75">
      <c r="A57" s="6" t="s">
        <v>172</v>
      </c>
      <c r="B57" s="1" t="s">
        <v>30</v>
      </c>
      <c r="C57" s="1" t="s">
        <v>33</v>
      </c>
      <c r="D57" s="13" t="s">
        <v>2</v>
      </c>
      <c r="J57" s="10">
        <v>0.8928571428571429</v>
      </c>
    </row>
    <row r="58" spans="1:10" ht="15.75">
      <c r="A58" s="6" t="s">
        <v>173</v>
      </c>
      <c r="B58" s="1" t="s">
        <v>74</v>
      </c>
      <c r="C58" s="1" t="s">
        <v>39</v>
      </c>
      <c r="D58" s="23">
        <f>E55/E2</f>
        <v>0</v>
      </c>
      <c r="J58" s="10">
        <v>0.8928571428571429</v>
      </c>
    </row>
    <row r="59" spans="1:10" ht="26.25" customHeight="1">
      <c r="A59" s="20" t="s">
        <v>247</v>
      </c>
      <c r="B59" s="3" t="s">
        <v>70</v>
      </c>
      <c r="C59" s="1"/>
      <c r="D59" s="3" t="s">
        <v>226</v>
      </c>
      <c r="E59" s="4"/>
      <c r="F59" s="4"/>
      <c r="I59" s="4"/>
      <c r="J59" s="10"/>
    </row>
    <row r="60" spans="1:10" ht="15.75">
      <c r="A60" s="6" t="s">
        <v>248</v>
      </c>
      <c r="B60" s="1" t="s">
        <v>71</v>
      </c>
      <c r="C60" s="1" t="s">
        <v>39</v>
      </c>
      <c r="D60" s="11">
        <f>E61</f>
        <v>38323.17</v>
      </c>
      <c r="E60" s="4"/>
      <c r="F60" s="4"/>
      <c r="I60" s="4"/>
      <c r="J60" s="10"/>
    </row>
    <row r="61" spans="1:10" ht="31.5">
      <c r="A61" s="6" t="s">
        <v>249</v>
      </c>
      <c r="B61" s="1" t="s">
        <v>72</v>
      </c>
      <c r="C61" s="1" t="s">
        <v>33</v>
      </c>
      <c r="D61" s="1" t="s">
        <v>227</v>
      </c>
      <c r="E61" s="15">
        <v>38323.17</v>
      </c>
      <c r="F61" s="4"/>
      <c r="I61" s="4"/>
      <c r="J61" s="10"/>
    </row>
    <row r="62" spans="1:10" ht="15.75">
      <c r="A62" s="6" t="s">
        <v>250</v>
      </c>
      <c r="B62" s="1" t="s">
        <v>73</v>
      </c>
      <c r="C62" s="1" t="s">
        <v>33</v>
      </c>
      <c r="D62" s="1" t="s">
        <v>18</v>
      </c>
      <c r="E62" s="4"/>
      <c r="F62" s="4"/>
      <c r="I62" s="4"/>
      <c r="J62" s="10"/>
    </row>
    <row r="63" spans="1:10" ht="15.75">
      <c r="A63" s="6" t="s">
        <v>251</v>
      </c>
      <c r="B63" s="1" t="s">
        <v>30</v>
      </c>
      <c r="C63" s="1" t="s">
        <v>33</v>
      </c>
      <c r="D63" s="1" t="s">
        <v>2</v>
      </c>
      <c r="E63" s="4"/>
      <c r="F63" s="4"/>
      <c r="I63" s="4"/>
      <c r="J63" s="10"/>
    </row>
    <row r="64" spans="1:10" ht="15.75">
      <c r="A64" s="6" t="s">
        <v>252</v>
      </c>
      <c r="B64" s="1" t="s">
        <v>74</v>
      </c>
      <c r="C64" s="1" t="s">
        <v>39</v>
      </c>
      <c r="D64" s="7">
        <f>E61/E2</f>
        <v>2.709973390432294</v>
      </c>
      <c r="E64" s="4"/>
      <c r="F64" s="4"/>
      <c r="I64" s="4"/>
      <c r="J64" s="10"/>
    </row>
    <row r="65" spans="1:10" ht="31.5">
      <c r="A65" s="20" t="s">
        <v>253</v>
      </c>
      <c r="B65" s="3" t="s">
        <v>70</v>
      </c>
      <c r="C65" s="1"/>
      <c r="D65" s="3" t="s">
        <v>228</v>
      </c>
      <c r="E65" s="4"/>
      <c r="F65" s="4"/>
      <c r="I65" s="4"/>
      <c r="J65" s="10"/>
    </row>
    <row r="66" spans="1:10" ht="15.75">
      <c r="A66" s="6" t="s">
        <v>270</v>
      </c>
      <c r="B66" s="1" t="s">
        <v>71</v>
      </c>
      <c r="C66" s="1" t="s">
        <v>39</v>
      </c>
      <c r="D66" s="13">
        <f>E67</f>
        <v>83409.25</v>
      </c>
      <c r="E66" s="4"/>
      <c r="F66" s="4"/>
      <c r="I66" s="4"/>
      <c r="J66" s="10"/>
    </row>
    <row r="67" spans="1:10" ht="31.5">
      <c r="A67" s="6" t="s">
        <v>254</v>
      </c>
      <c r="B67" s="1" t="s">
        <v>72</v>
      </c>
      <c r="C67" s="1" t="s">
        <v>33</v>
      </c>
      <c r="D67" s="1" t="s">
        <v>229</v>
      </c>
      <c r="E67" s="4">
        <v>83409.25</v>
      </c>
      <c r="F67" s="4"/>
      <c r="I67" s="4"/>
      <c r="J67" s="10"/>
    </row>
    <row r="68" spans="1:10" ht="15.75">
      <c r="A68" s="6" t="s">
        <v>255</v>
      </c>
      <c r="B68" s="1" t="s">
        <v>73</v>
      </c>
      <c r="C68" s="1" t="s">
        <v>33</v>
      </c>
      <c r="D68" s="1" t="s">
        <v>5</v>
      </c>
      <c r="E68" s="4"/>
      <c r="F68" s="4"/>
      <c r="I68" s="4"/>
      <c r="J68" s="10"/>
    </row>
    <row r="69" spans="1:10" ht="15.75">
      <c r="A69" s="6" t="s">
        <v>256</v>
      </c>
      <c r="B69" s="1" t="s">
        <v>30</v>
      </c>
      <c r="C69" s="1" t="s">
        <v>33</v>
      </c>
      <c r="D69" s="1" t="s">
        <v>2</v>
      </c>
      <c r="E69" s="4"/>
      <c r="F69" s="4"/>
      <c r="I69" s="4"/>
      <c r="J69" s="10"/>
    </row>
    <row r="70" spans="1:10" ht="15.75">
      <c r="A70" s="6" t="s">
        <v>257</v>
      </c>
      <c r="B70" s="1" t="s">
        <v>74</v>
      </c>
      <c r="C70" s="1" t="s">
        <v>39</v>
      </c>
      <c r="D70" s="7">
        <f>E67/E2</f>
        <v>5.898177212790978</v>
      </c>
      <c r="E70" s="4"/>
      <c r="F70" s="4"/>
      <c r="I70" s="4"/>
      <c r="J70" s="10"/>
    </row>
    <row r="71" spans="1:10" ht="31.5">
      <c r="A71" s="20" t="s">
        <v>258</v>
      </c>
      <c r="B71" s="3" t="s">
        <v>70</v>
      </c>
      <c r="C71" s="3"/>
      <c r="D71" s="3" t="s">
        <v>174</v>
      </c>
      <c r="E71" s="4"/>
      <c r="I71" s="4"/>
      <c r="J71" s="10">
        <v>0.8928571428571429</v>
      </c>
    </row>
    <row r="72" spans="1:10" ht="15.75">
      <c r="A72" s="6" t="s">
        <v>259</v>
      </c>
      <c r="B72" s="1" t="s">
        <v>71</v>
      </c>
      <c r="C72" s="1" t="s">
        <v>39</v>
      </c>
      <c r="D72" s="11">
        <f>E73+E77</f>
        <v>52465.07</v>
      </c>
      <c r="E72" s="4"/>
      <c r="I72" s="4"/>
      <c r="J72" s="10">
        <v>0.8928571428571429</v>
      </c>
    </row>
    <row r="73" spans="1:10" ht="31.5">
      <c r="A73" s="6" t="s">
        <v>262</v>
      </c>
      <c r="B73" s="1" t="s">
        <v>72</v>
      </c>
      <c r="C73" s="1" t="s">
        <v>33</v>
      </c>
      <c r="D73" s="1" t="s">
        <v>202</v>
      </c>
      <c r="E73" s="14">
        <f>51701.43</f>
        <v>51701.43</v>
      </c>
      <c r="F73" s="19">
        <f>134309.69*J73</f>
        <v>119919.36607142858</v>
      </c>
      <c r="G73" s="12">
        <f>'[1]ук(2016)'!$DC$69</f>
        <v>110134.23564</v>
      </c>
      <c r="H73" s="4">
        <v>94536.13</v>
      </c>
      <c r="I73" s="4">
        <v>7608.14</v>
      </c>
      <c r="J73" s="10">
        <v>0.8928571428571429</v>
      </c>
    </row>
    <row r="74" spans="1:10" ht="15.75">
      <c r="A74" s="6" t="s">
        <v>263</v>
      </c>
      <c r="B74" s="1" t="s">
        <v>73</v>
      </c>
      <c r="C74" s="1" t="s">
        <v>33</v>
      </c>
      <c r="D74" s="1" t="s">
        <v>4</v>
      </c>
      <c r="E74" s="4"/>
      <c r="I74" s="4"/>
      <c r="J74" s="10">
        <v>0.8928571428571429</v>
      </c>
    </row>
    <row r="75" spans="1:10" ht="15.75">
      <c r="A75" s="6" t="s">
        <v>264</v>
      </c>
      <c r="B75" s="1" t="s">
        <v>30</v>
      </c>
      <c r="C75" s="1" t="s">
        <v>33</v>
      </c>
      <c r="D75" s="1" t="s">
        <v>2</v>
      </c>
      <c r="E75" s="4"/>
      <c r="I75" s="4"/>
      <c r="J75" s="10">
        <v>0.8928571428571429</v>
      </c>
    </row>
    <row r="76" spans="1:10" ht="15.75">
      <c r="A76" s="6" t="s">
        <v>265</v>
      </c>
      <c r="B76" s="1" t="s">
        <v>74</v>
      </c>
      <c r="C76" s="1" t="s">
        <v>39</v>
      </c>
      <c r="D76" s="7">
        <f>E73/E2</f>
        <v>3.6559997397735606</v>
      </c>
      <c r="E76" s="4"/>
      <c r="I76" s="4"/>
      <c r="J76" s="10">
        <v>0.8928571428571429</v>
      </c>
    </row>
    <row r="77" spans="1:10" ht="31.5">
      <c r="A77" s="6" t="s">
        <v>266</v>
      </c>
      <c r="B77" s="1" t="s">
        <v>72</v>
      </c>
      <c r="C77" s="1" t="s">
        <v>33</v>
      </c>
      <c r="D77" s="1" t="s">
        <v>203</v>
      </c>
      <c r="E77" s="15">
        <v>763.64</v>
      </c>
      <c r="F77" s="19">
        <f>3512.41</f>
        <v>3512.41</v>
      </c>
      <c r="G77" s="12">
        <f>'[1]ук(2016)'!$DC$72</f>
        <v>2884.8721200000005</v>
      </c>
      <c r="H77" s="12"/>
      <c r="I77" s="4">
        <v>4044.48</v>
      </c>
      <c r="J77" s="10">
        <v>0.8928571428571429</v>
      </c>
    </row>
    <row r="78" spans="1:10" ht="15.75">
      <c r="A78" s="6" t="s">
        <v>267</v>
      </c>
      <c r="B78" s="1" t="s">
        <v>73</v>
      </c>
      <c r="C78" s="1" t="s">
        <v>33</v>
      </c>
      <c r="D78" s="1" t="s">
        <v>10</v>
      </c>
      <c r="E78" s="4"/>
      <c r="I78" s="4"/>
      <c r="J78" s="10">
        <v>0.8928571428571429</v>
      </c>
    </row>
    <row r="79" spans="1:10" ht="15.75">
      <c r="A79" s="6" t="s">
        <v>268</v>
      </c>
      <c r="B79" s="1" t="s">
        <v>30</v>
      </c>
      <c r="C79" s="1" t="s">
        <v>33</v>
      </c>
      <c r="D79" s="1" t="s">
        <v>2</v>
      </c>
      <c r="E79" s="4"/>
      <c r="I79" s="4"/>
      <c r="J79" s="10">
        <v>0.8928571428571429</v>
      </c>
    </row>
    <row r="80" spans="1:10" ht="15.75">
      <c r="A80" s="6" t="s">
        <v>269</v>
      </c>
      <c r="B80" s="1" t="s">
        <v>74</v>
      </c>
      <c r="C80" s="1" t="s">
        <v>39</v>
      </c>
      <c r="D80" s="7">
        <f>E77/E2</f>
        <v>0.053999814730089316</v>
      </c>
      <c r="E80" s="4"/>
      <c r="I80" s="4"/>
      <c r="J80" s="10">
        <v>0.8928571428571429</v>
      </c>
    </row>
    <row r="81" spans="1:10" ht="31.5">
      <c r="A81" s="20" t="s">
        <v>260</v>
      </c>
      <c r="B81" s="3" t="s">
        <v>70</v>
      </c>
      <c r="C81" s="3" t="s">
        <v>33</v>
      </c>
      <c r="D81" s="3" t="s">
        <v>175</v>
      </c>
      <c r="E81" s="4"/>
      <c r="I81" s="4"/>
      <c r="J81" s="10">
        <v>0.8928571428571429</v>
      </c>
    </row>
    <row r="82" spans="1:10" ht="15.75">
      <c r="A82" s="6" t="s">
        <v>261</v>
      </c>
      <c r="B82" s="1" t="s">
        <v>71</v>
      </c>
      <c r="C82" s="1" t="s">
        <v>39</v>
      </c>
      <c r="D82" s="11">
        <f>E83+E87+E91+E95</f>
        <v>111341.28000000001</v>
      </c>
      <c r="E82" s="4"/>
      <c r="I82" s="4"/>
      <c r="J82" s="10">
        <v>0.8928571428571429</v>
      </c>
    </row>
    <row r="83" spans="1:11" ht="78.75">
      <c r="A83" s="6" t="s">
        <v>272</v>
      </c>
      <c r="B83" s="1" t="s">
        <v>72</v>
      </c>
      <c r="C83" s="1" t="s">
        <v>33</v>
      </c>
      <c r="D83" s="1" t="s">
        <v>182</v>
      </c>
      <c r="E83" s="15">
        <f>106549.52</f>
        <v>106549.52</v>
      </c>
      <c r="F83" s="19">
        <f>531171.87*J83</f>
        <v>474260.59821428574</v>
      </c>
      <c r="G83" s="12">
        <f>'[1]ук(2016)'!$DC$84</f>
        <v>435955.08684</v>
      </c>
      <c r="H83" s="15">
        <v>269378.35</v>
      </c>
      <c r="I83" s="4">
        <v>269478.35</v>
      </c>
      <c r="J83" s="10">
        <v>0.8928571428571429</v>
      </c>
      <c r="K83" s="19">
        <v>7</v>
      </c>
    </row>
    <row r="84" spans="1:10" ht="15.75">
      <c r="A84" s="6" t="s">
        <v>273</v>
      </c>
      <c r="B84" s="1" t="s">
        <v>73</v>
      </c>
      <c r="C84" s="1" t="s">
        <v>33</v>
      </c>
      <c r="D84" s="1" t="s">
        <v>1</v>
      </c>
      <c r="E84" s="4"/>
      <c r="I84" s="4">
        <v>103500</v>
      </c>
      <c r="J84" s="10">
        <v>0.8928571428571429</v>
      </c>
    </row>
    <row r="85" spans="1:10" ht="15.75">
      <c r="A85" s="6" t="s">
        <v>274</v>
      </c>
      <c r="B85" s="1" t="s">
        <v>30</v>
      </c>
      <c r="C85" s="1" t="s">
        <v>33</v>
      </c>
      <c r="D85" s="1" t="s">
        <v>6</v>
      </c>
      <c r="E85" s="4"/>
      <c r="I85" s="4"/>
      <c r="J85" s="10">
        <v>0.8928571428571429</v>
      </c>
    </row>
    <row r="86" spans="1:10" ht="15.75">
      <c r="A86" s="6" t="s">
        <v>275</v>
      </c>
      <c r="B86" s="1" t="s">
        <v>74</v>
      </c>
      <c r="C86" s="1" t="s">
        <v>39</v>
      </c>
      <c r="D86" s="23">
        <f>E83/K83</f>
        <v>15221.36</v>
      </c>
      <c r="E86" s="4"/>
      <c r="I86" s="4"/>
      <c r="J86" s="10">
        <v>0.8928571428571429</v>
      </c>
    </row>
    <row r="87" spans="1:11" ht="31.5">
      <c r="A87" s="6" t="s">
        <v>276</v>
      </c>
      <c r="B87" s="1" t="s">
        <v>72</v>
      </c>
      <c r="C87" s="1" t="s">
        <v>33</v>
      </c>
      <c r="D87" s="1" t="s">
        <v>183</v>
      </c>
      <c r="E87" s="14">
        <v>0</v>
      </c>
      <c r="F87" s="19">
        <f>52047.5</f>
        <v>52047.5</v>
      </c>
      <c r="G87" s="12">
        <f>'[1]ук(2016)'!$DC$85</f>
        <v>42763.98672</v>
      </c>
      <c r="H87" s="4">
        <v>103500</v>
      </c>
      <c r="I87" s="4">
        <f>1470.72+441.92</f>
        <v>1912.64</v>
      </c>
      <c r="J87" s="10">
        <v>0.8928571428571429</v>
      </c>
      <c r="K87" s="19">
        <v>7</v>
      </c>
    </row>
    <row r="88" spans="1:10" ht="31.5">
      <c r="A88" s="6" t="s">
        <v>277</v>
      </c>
      <c r="B88" s="1" t="s">
        <v>73</v>
      </c>
      <c r="C88" s="1" t="s">
        <v>33</v>
      </c>
      <c r="D88" s="1" t="s">
        <v>90</v>
      </c>
      <c r="E88" s="4"/>
      <c r="F88" s="19" t="s">
        <v>240</v>
      </c>
      <c r="H88" s="4"/>
      <c r="I88" s="4"/>
      <c r="J88" s="10">
        <v>0.8928571428571429</v>
      </c>
    </row>
    <row r="89" spans="1:10" ht="15.75">
      <c r="A89" s="6" t="s">
        <v>278</v>
      </c>
      <c r="B89" s="1" t="s">
        <v>30</v>
      </c>
      <c r="C89" s="1" t="s">
        <v>33</v>
      </c>
      <c r="D89" s="1" t="s">
        <v>6</v>
      </c>
      <c r="E89" s="4"/>
      <c r="H89" s="4"/>
      <c r="I89" s="4"/>
      <c r="J89" s="10">
        <v>0.8928571428571429</v>
      </c>
    </row>
    <row r="90" spans="1:10" ht="15.75">
      <c r="A90" s="6" t="s">
        <v>279</v>
      </c>
      <c r="B90" s="1" t="s">
        <v>74</v>
      </c>
      <c r="C90" s="1" t="s">
        <v>39</v>
      </c>
      <c r="D90" s="23">
        <f>E87/K87</f>
        <v>0</v>
      </c>
      <c r="E90" s="4"/>
      <c r="H90" s="4"/>
      <c r="I90" s="4"/>
      <c r="J90" s="10">
        <v>0.8928571428571429</v>
      </c>
    </row>
    <row r="91" spans="1:10" ht="31.5">
      <c r="A91" s="6" t="s">
        <v>280</v>
      </c>
      <c r="B91" s="1" t="s">
        <v>72</v>
      </c>
      <c r="C91" s="1" t="s">
        <v>33</v>
      </c>
      <c r="D91" s="1" t="s">
        <v>185</v>
      </c>
      <c r="E91" s="14">
        <v>3276.6</v>
      </c>
      <c r="F91" s="19">
        <f>11654.81*J91</f>
        <v>10406.080357142857</v>
      </c>
      <c r="G91" s="12">
        <f>'[1]ук(2016)'!$DC$86</f>
        <v>9503.10816</v>
      </c>
      <c r="H91" s="4">
        <f>3652.37+1470.72+367.68</f>
        <v>5490.77</v>
      </c>
      <c r="I91" s="4">
        <f>1838.4+367.68</f>
        <v>2206.08</v>
      </c>
      <c r="J91" s="10">
        <v>0.8928571428571429</v>
      </c>
    </row>
    <row r="92" spans="1:10" ht="15.75">
      <c r="A92" s="6" t="s">
        <v>281</v>
      </c>
      <c r="B92" s="1" t="s">
        <v>73</v>
      </c>
      <c r="C92" s="1" t="s">
        <v>33</v>
      </c>
      <c r="D92" s="1" t="s">
        <v>12</v>
      </c>
      <c r="E92" s="4"/>
      <c r="H92" s="4"/>
      <c r="I92" s="4"/>
      <c r="J92" s="10">
        <v>0.8928571428571429</v>
      </c>
    </row>
    <row r="93" spans="1:10" ht="15.75">
      <c r="A93" s="6" t="s">
        <v>282</v>
      </c>
      <c r="B93" s="1" t="s">
        <v>30</v>
      </c>
      <c r="C93" s="1" t="s">
        <v>33</v>
      </c>
      <c r="D93" s="1" t="s">
        <v>2</v>
      </c>
      <c r="E93" s="4"/>
      <c r="H93" s="4"/>
      <c r="I93" s="4"/>
      <c r="J93" s="10">
        <v>0.8928571428571429</v>
      </c>
    </row>
    <row r="94" spans="1:10" ht="15.75">
      <c r="A94" s="6" t="s">
        <v>283</v>
      </c>
      <c r="B94" s="1" t="s">
        <v>74</v>
      </c>
      <c r="C94" s="1" t="s">
        <v>39</v>
      </c>
      <c r="D94" s="23">
        <f>E91/E2</f>
        <v>0.23170053028208404</v>
      </c>
      <c r="E94" s="4"/>
      <c r="H94" s="4"/>
      <c r="I94" s="4"/>
      <c r="J94" s="10">
        <v>0.8928571428571429</v>
      </c>
    </row>
    <row r="95" spans="1:10" ht="31.5">
      <c r="A95" s="6" t="s">
        <v>284</v>
      </c>
      <c r="B95" s="1" t="s">
        <v>72</v>
      </c>
      <c r="C95" s="1" t="s">
        <v>33</v>
      </c>
      <c r="D95" s="1" t="s">
        <v>186</v>
      </c>
      <c r="E95" s="14">
        <v>1515.16</v>
      </c>
      <c r="F95" s="19">
        <f>5268.61*J95</f>
        <v>4704.116071428572</v>
      </c>
      <c r="G95" s="12">
        <f>'[1]ук(2016)'!$DC$88</f>
        <v>4242.459000000001</v>
      </c>
      <c r="H95" s="4">
        <f>441.92+1343.45</f>
        <v>1785.3700000000001</v>
      </c>
      <c r="I95" s="4">
        <f>3864.49</f>
        <v>3864.49</v>
      </c>
      <c r="J95" s="10">
        <v>0.8928571428571429</v>
      </c>
    </row>
    <row r="96" spans="1:10" ht="15.75">
      <c r="A96" s="6" t="s">
        <v>285</v>
      </c>
      <c r="B96" s="1" t="s">
        <v>73</v>
      </c>
      <c r="C96" s="1" t="s">
        <v>33</v>
      </c>
      <c r="D96" s="1" t="s">
        <v>13</v>
      </c>
      <c r="E96" s="4"/>
      <c r="I96" s="4"/>
      <c r="J96" s="10">
        <v>0.8928571428571429</v>
      </c>
    </row>
    <row r="97" spans="1:10" ht="15.75">
      <c r="A97" s="6" t="s">
        <v>286</v>
      </c>
      <c r="B97" s="1" t="s">
        <v>30</v>
      </c>
      <c r="C97" s="1" t="s">
        <v>33</v>
      </c>
      <c r="D97" s="1" t="s">
        <v>2</v>
      </c>
      <c r="E97" s="4"/>
      <c r="I97" s="4"/>
      <c r="J97" s="10">
        <v>0.8928571428571429</v>
      </c>
    </row>
    <row r="98" spans="1:10" ht="15.75">
      <c r="A98" s="6" t="s">
        <v>287</v>
      </c>
      <c r="B98" s="1" t="s">
        <v>74</v>
      </c>
      <c r="C98" s="1" t="s">
        <v>39</v>
      </c>
      <c r="D98" s="23">
        <f>E95/E2</f>
        <v>0.1071425793390107</v>
      </c>
      <c r="E98" s="4"/>
      <c r="I98" s="4"/>
      <c r="J98" s="10">
        <v>0.8928571428571429</v>
      </c>
    </row>
    <row r="99" spans="1:10" ht="31.5">
      <c r="A99" s="20" t="s">
        <v>288</v>
      </c>
      <c r="B99" s="3" t="s">
        <v>70</v>
      </c>
      <c r="C99" s="3" t="s">
        <v>33</v>
      </c>
      <c r="D99" s="3" t="s">
        <v>20</v>
      </c>
      <c r="E99" s="4"/>
      <c r="I99" s="4">
        <f>0</f>
        <v>0</v>
      </c>
      <c r="J99" s="10">
        <v>0.8928571428571429</v>
      </c>
    </row>
    <row r="100" spans="1:10" ht="15.75">
      <c r="A100" s="6" t="s">
        <v>289</v>
      </c>
      <c r="B100" s="1" t="s">
        <v>71</v>
      </c>
      <c r="C100" s="1" t="s">
        <v>39</v>
      </c>
      <c r="D100" s="11">
        <f>E100</f>
        <v>0</v>
      </c>
      <c r="E100" s="4">
        <v>0</v>
      </c>
      <c r="F100" s="19" t="s">
        <v>241</v>
      </c>
      <c r="I100" s="4"/>
      <c r="J100" s="10">
        <v>0.8928571428571429</v>
      </c>
    </row>
    <row r="101" spans="1:11" ht="47.25">
      <c r="A101" s="6" t="s">
        <v>290</v>
      </c>
      <c r="B101" s="1" t="s">
        <v>72</v>
      </c>
      <c r="C101" s="1" t="s">
        <v>33</v>
      </c>
      <c r="D101" s="1" t="s">
        <v>181</v>
      </c>
      <c r="E101" s="14"/>
      <c r="F101" s="19">
        <v>19111.23</v>
      </c>
      <c r="G101" s="12">
        <f>'[1]ук(2016)'!$DC$37</f>
        <v>15612.24912</v>
      </c>
      <c r="H101" s="12"/>
      <c r="I101" s="4"/>
      <c r="J101" s="10">
        <v>0.8928571428571429</v>
      </c>
      <c r="K101" s="19" t="s">
        <v>212</v>
      </c>
    </row>
    <row r="102" spans="1:10" ht="15.75">
      <c r="A102" s="6" t="s">
        <v>291</v>
      </c>
      <c r="B102" s="1" t="s">
        <v>73</v>
      </c>
      <c r="C102" s="1" t="s">
        <v>33</v>
      </c>
      <c r="D102" s="1" t="s">
        <v>90</v>
      </c>
      <c r="E102" s="4"/>
      <c r="I102" s="4"/>
      <c r="J102" s="10">
        <v>0.8928571428571429</v>
      </c>
    </row>
    <row r="103" spans="1:10" ht="15.75">
      <c r="A103" s="6" t="s">
        <v>292</v>
      </c>
      <c r="B103" s="1" t="s">
        <v>30</v>
      </c>
      <c r="C103" s="1" t="s">
        <v>33</v>
      </c>
      <c r="D103" s="1" t="s">
        <v>2</v>
      </c>
      <c r="E103" s="4"/>
      <c r="I103" s="4"/>
      <c r="J103" s="10">
        <v>0.8928571428571429</v>
      </c>
    </row>
    <row r="104" spans="1:10" ht="15.75">
      <c r="A104" s="6" t="s">
        <v>293</v>
      </c>
      <c r="B104" s="1" t="s">
        <v>74</v>
      </c>
      <c r="C104" s="1" t="s">
        <v>39</v>
      </c>
      <c r="D104" s="7">
        <f>E100/E2</f>
        <v>0</v>
      </c>
      <c r="E104" s="4"/>
      <c r="I104" s="4"/>
      <c r="J104" s="10">
        <v>0.8928571428571429</v>
      </c>
    </row>
    <row r="105" spans="1:23" s="5" customFormat="1" ht="31.5">
      <c r="A105" s="20" t="s">
        <v>294</v>
      </c>
      <c r="B105" s="3" t="s">
        <v>70</v>
      </c>
      <c r="C105" s="3" t="s">
        <v>33</v>
      </c>
      <c r="D105" s="3" t="s">
        <v>21</v>
      </c>
      <c r="E105" s="19"/>
      <c r="F105" s="4">
        <v>4590.08</v>
      </c>
      <c r="G105" s="4"/>
      <c r="H105" s="4"/>
      <c r="I105" s="19">
        <v>6000.68</v>
      </c>
      <c r="J105" s="10">
        <v>0.8928571428571429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10" ht="15.75">
      <c r="A106" s="6" t="s">
        <v>295</v>
      </c>
      <c r="B106" s="1" t="s">
        <v>71</v>
      </c>
      <c r="C106" s="1" t="s">
        <v>39</v>
      </c>
      <c r="D106" s="11">
        <f>E107</f>
        <v>6346.22</v>
      </c>
      <c r="J106" s="10">
        <v>0.8928571428571429</v>
      </c>
    </row>
    <row r="107" spans="1:10" ht="31.5">
      <c r="A107" s="6" t="s">
        <v>296</v>
      </c>
      <c r="B107" s="1" t="s">
        <v>72</v>
      </c>
      <c r="C107" s="1" t="s">
        <v>33</v>
      </c>
      <c r="D107" s="1" t="s">
        <v>177</v>
      </c>
      <c r="E107" s="12">
        <f>4999.22+1347</f>
        <v>6346.22</v>
      </c>
      <c r="F107" s="12"/>
      <c r="G107" s="12">
        <f>'[1]ук(2016)'!$DC$76</f>
        <v>3733.36392</v>
      </c>
      <c r="H107" s="19">
        <v>1168.72</v>
      </c>
      <c r="J107" s="10">
        <v>0.8928571428571429</v>
      </c>
    </row>
    <row r="108" spans="1:10" ht="15.75">
      <c r="A108" s="6" t="s">
        <v>297</v>
      </c>
      <c r="B108" s="1" t="s">
        <v>73</v>
      </c>
      <c r="C108" s="1" t="s">
        <v>33</v>
      </c>
      <c r="D108" s="1" t="s">
        <v>16</v>
      </c>
      <c r="J108" s="10">
        <v>0.8928571428571429</v>
      </c>
    </row>
    <row r="109" spans="1:10" ht="15.75">
      <c r="A109" s="6" t="s">
        <v>298</v>
      </c>
      <c r="B109" s="1" t="s">
        <v>30</v>
      </c>
      <c r="C109" s="1" t="s">
        <v>33</v>
      </c>
      <c r="D109" s="1" t="s">
        <v>2</v>
      </c>
      <c r="J109" s="10">
        <v>0.8928571428571429</v>
      </c>
    </row>
    <row r="110" spans="1:10" ht="15.75">
      <c r="A110" s="6" t="s">
        <v>299</v>
      </c>
      <c r="B110" s="1" t="s">
        <v>74</v>
      </c>
      <c r="C110" s="1" t="s">
        <v>39</v>
      </c>
      <c r="D110" s="7">
        <f>E107/E2</f>
        <v>0.4487647376203282</v>
      </c>
      <c r="J110" s="10">
        <v>0.8928571428571429</v>
      </c>
    </row>
    <row r="111" spans="1:23" s="5" customFormat="1" ht="47.25">
      <c r="A111" s="20" t="s">
        <v>91</v>
      </c>
      <c r="B111" s="3" t="s">
        <v>70</v>
      </c>
      <c r="C111" s="3" t="s">
        <v>33</v>
      </c>
      <c r="D111" s="3" t="s">
        <v>8</v>
      </c>
      <c r="E111" s="4"/>
      <c r="F111" s="1" t="s">
        <v>161</v>
      </c>
      <c r="G111" s="4"/>
      <c r="H111" s="4"/>
      <c r="I111" s="4"/>
      <c r="J111" s="10">
        <v>0.8928571428571429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10" ht="15.75">
      <c r="A112" s="6" t="s">
        <v>92</v>
      </c>
      <c r="B112" s="1" t="s">
        <v>71</v>
      </c>
      <c r="C112" s="1" t="s">
        <v>39</v>
      </c>
      <c r="D112" s="11">
        <f>E113+E117</f>
        <v>591.15</v>
      </c>
      <c r="F112" s="1">
        <v>1962.2</v>
      </c>
      <c r="J112" s="10">
        <v>0.8928571428571429</v>
      </c>
    </row>
    <row r="113" spans="1:10" ht="31.5">
      <c r="A113" s="6" t="s">
        <v>300</v>
      </c>
      <c r="B113" s="1" t="s">
        <v>72</v>
      </c>
      <c r="C113" s="1" t="s">
        <v>33</v>
      </c>
      <c r="D113" s="1" t="s">
        <v>188</v>
      </c>
      <c r="E113" s="19">
        <v>0</v>
      </c>
      <c r="F113" s="21">
        <v>7344.13</v>
      </c>
      <c r="G113" s="12"/>
      <c r="H113" s="12"/>
      <c r="I113" s="19">
        <v>0</v>
      </c>
      <c r="J113" s="10">
        <v>0.8928571428571429</v>
      </c>
    </row>
    <row r="114" spans="1:10" ht="15.75">
      <c r="A114" s="6" t="s">
        <v>301</v>
      </c>
      <c r="B114" s="1" t="s">
        <v>73</v>
      </c>
      <c r="C114" s="1" t="s">
        <v>33</v>
      </c>
      <c r="D114" s="1" t="s">
        <v>16</v>
      </c>
      <c r="F114" s="21"/>
      <c r="J114" s="10">
        <v>0.8928571428571429</v>
      </c>
    </row>
    <row r="115" spans="1:10" ht="15.75">
      <c r="A115" s="6" t="s">
        <v>302</v>
      </c>
      <c r="B115" s="1" t="s">
        <v>30</v>
      </c>
      <c r="C115" s="1" t="s">
        <v>33</v>
      </c>
      <c r="D115" s="1" t="s">
        <v>2</v>
      </c>
      <c r="J115" s="10">
        <v>0.8928571428571429</v>
      </c>
    </row>
    <row r="116" spans="1:10" ht="15.75">
      <c r="A116" s="6" t="s">
        <v>303</v>
      </c>
      <c r="B116" s="1" t="s">
        <v>74</v>
      </c>
      <c r="C116" s="1" t="s">
        <v>39</v>
      </c>
      <c r="D116" s="7">
        <f>E113/F112</f>
        <v>0</v>
      </c>
      <c r="F116" s="1"/>
      <c r="J116" s="10">
        <v>0.8928571428571429</v>
      </c>
    </row>
    <row r="117" spans="1:11" ht="31.5">
      <c r="A117" s="6" t="s">
        <v>304</v>
      </c>
      <c r="B117" s="1" t="s">
        <v>72</v>
      </c>
      <c r="C117" s="1" t="s">
        <v>33</v>
      </c>
      <c r="D117" s="1" t="s">
        <v>190</v>
      </c>
      <c r="E117" s="12">
        <v>591.15</v>
      </c>
      <c r="F117" s="1">
        <v>1756.2</v>
      </c>
      <c r="G117" s="12">
        <f>'[1]ук(2016)'!$DC$67</f>
        <v>5939.4426</v>
      </c>
      <c r="H117" s="19">
        <v>1756.2</v>
      </c>
      <c r="I117" s="19">
        <v>1064.07</v>
      </c>
      <c r="J117" s="10">
        <v>0.8928571428571429</v>
      </c>
      <c r="K117" s="12"/>
    </row>
    <row r="118" spans="1:10" ht="15.75">
      <c r="A118" s="6" t="s">
        <v>305</v>
      </c>
      <c r="B118" s="1" t="s">
        <v>73</v>
      </c>
      <c r="C118" s="1" t="s">
        <v>33</v>
      </c>
      <c r="D118" s="1" t="s">
        <v>187</v>
      </c>
      <c r="E118" s="12"/>
      <c r="J118" s="10">
        <v>0.8928571428571429</v>
      </c>
    </row>
    <row r="119" spans="1:10" ht="15.75">
      <c r="A119" s="6" t="s">
        <v>306</v>
      </c>
      <c r="B119" s="1" t="s">
        <v>30</v>
      </c>
      <c r="C119" s="1" t="s">
        <v>33</v>
      </c>
      <c r="D119" s="1" t="s">
        <v>2</v>
      </c>
      <c r="J119" s="10">
        <v>0.8928571428571429</v>
      </c>
    </row>
    <row r="120" spans="1:10" ht="15.75">
      <c r="A120" s="6" t="s">
        <v>307</v>
      </c>
      <c r="B120" s="1" t="s">
        <v>74</v>
      </c>
      <c r="C120" s="1" t="s">
        <v>39</v>
      </c>
      <c r="D120" s="7">
        <f>E117/E2</f>
        <v>0.041802407518846965</v>
      </c>
      <c r="J120" s="10">
        <v>0.8928571428571429</v>
      </c>
    </row>
    <row r="121" spans="1:23" s="5" customFormat="1" ht="63">
      <c r="A121" s="20" t="s">
        <v>308</v>
      </c>
      <c r="B121" s="3" t="s">
        <v>70</v>
      </c>
      <c r="C121" s="3" t="s">
        <v>33</v>
      </c>
      <c r="D121" s="3" t="s">
        <v>11</v>
      </c>
      <c r="E121" s="4"/>
      <c r="F121" s="19"/>
      <c r="G121" s="4"/>
      <c r="H121" s="4"/>
      <c r="I121" s="4"/>
      <c r="J121" s="10">
        <v>0.8928571428571429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10" ht="15.75">
      <c r="A122" s="6" t="s">
        <v>309</v>
      </c>
      <c r="B122" s="1" t="s">
        <v>71</v>
      </c>
      <c r="C122" s="1" t="s">
        <v>39</v>
      </c>
      <c r="D122" s="11">
        <f>E123+E127+E131+E135+E139+E143+E147+E151+E155+E159+E163</f>
        <v>165915.2</v>
      </c>
      <c r="J122" s="10">
        <v>0.8928571428571429</v>
      </c>
    </row>
    <row r="123" spans="1:10" ht="31.5">
      <c r="A123" s="6" t="s">
        <v>310</v>
      </c>
      <c r="B123" s="1" t="s">
        <v>72</v>
      </c>
      <c r="C123" s="1" t="s">
        <v>33</v>
      </c>
      <c r="D123" s="1" t="s">
        <v>191</v>
      </c>
      <c r="E123" s="12">
        <v>3122.45</v>
      </c>
      <c r="F123" s="19">
        <f>2318.65+15612.25+6441.47+29839.58</f>
        <v>54211.950000000004</v>
      </c>
      <c r="G123" s="12">
        <f>'[1]ук(2016)'!$DC$47</f>
        <v>24775.96056</v>
      </c>
      <c r="H123" s="19">
        <f>6441.47+8866.74</f>
        <v>15308.21</v>
      </c>
      <c r="I123" s="19">
        <f>2318.65+15612.25+6441.47+29839.58</f>
        <v>54211.950000000004</v>
      </c>
      <c r="J123" s="10">
        <v>0.8928571428571429</v>
      </c>
    </row>
    <row r="124" spans="1:10" ht="15.75">
      <c r="A124" s="6" t="s">
        <v>311</v>
      </c>
      <c r="B124" s="1" t="s">
        <v>73</v>
      </c>
      <c r="C124" s="1" t="s">
        <v>33</v>
      </c>
      <c r="D124" s="1" t="s">
        <v>204</v>
      </c>
      <c r="E124" s="12"/>
      <c r="J124" s="10">
        <v>0.8928571428571429</v>
      </c>
    </row>
    <row r="125" spans="1:10" ht="15.75">
      <c r="A125" s="6" t="s">
        <v>312</v>
      </c>
      <c r="B125" s="1" t="s">
        <v>30</v>
      </c>
      <c r="C125" s="1" t="s">
        <v>33</v>
      </c>
      <c r="D125" s="1" t="s">
        <v>2</v>
      </c>
      <c r="J125" s="10">
        <v>0.8928571428571429</v>
      </c>
    </row>
    <row r="126" spans="1:10" ht="15.75">
      <c r="A126" s="6" t="s">
        <v>313</v>
      </c>
      <c r="B126" s="1" t="s">
        <v>74</v>
      </c>
      <c r="C126" s="1" t="s">
        <v>39</v>
      </c>
      <c r="D126" s="7">
        <f>E123/E2</f>
        <v>0.2208000124456123</v>
      </c>
      <c r="J126" s="10">
        <v>0.8928571428571429</v>
      </c>
    </row>
    <row r="127" spans="1:10" ht="31.5">
      <c r="A127" s="6" t="s">
        <v>314</v>
      </c>
      <c r="B127" s="1" t="s">
        <v>72</v>
      </c>
      <c r="C127" s="1" t="s">
        <v>33</v>
      </c>
      <c r="D127" s="1" t="s">
        <v>195</v>
      </c>
      <c r="E127" s="12">
        <v>64689.02</v>
      </c>
      <c r="G127" s="12">
        <f>'[1]ук(2016)'!$DC$48</f>
        <v>66182.3604</v>
      </c>
      <c r="H127" s="19">
        <f>17207.41</f>
        <v>17207.41</v>
      </c>
      <c r="J127" s="10">
        <v>0.8928571428571429</v>
      </c>
    </row>
    <row r="128" spans="1:10" ht="15.75">
      <c r="A128" s="6" t="s">
        <v>315</v>
      </c>
      <c r="B128" s="1" t="s">
        <v>73</v>
      </c>
      <c r="C128" s="1" t="s">
        <v>33</v>
      </c>
      <c r="D128" s="1" t="s">
        <v>205</v>
      </c>
      <c r="J128" s="10">
        <v>0.8928571428571429</v>
      </c>
    </row>
    <row r="129" spans="1:10" ht="15.75">
      <c r="A129" s="6" t="s">
        <v>316</v>
      </c>
      <c r="B129" s="1" t="s">
        <v>30</v>
      </c>
      <c r="C129" s="1" t="s">
        <v>33</v>
      </c>
      <c r="D129" s="1" t="s">
        <v>2</v>
      </c>
      <c r="J129" s="10">
        <v>0.8928571428571429</v>
      </c>
    </row>
    <row r="130" spans="1:10" ht="15.75">
      <c r="A130" s="6" t="s">
        <v>317</v>
      </c>
      <c r="B130" s="1" t="s">
        <v>74</v>
      </c>
      <c r="C130" s="1" t="s">
        <v>39</v>
      </c>
      <c r="D130" s="7">
        <f>E127/E2</f>
        <v>4.574400365448434</v>
      </c>
      <c r="J130" s="10">
        <v>0.8928571428571429</v>
      </c>
    </row>
    <row r="131" spans="1:10" ht="31.5">
      <c r="A131" s="6" t="s">
        <v>318</v>
      </c>
      <c r="B131" s="1" t="s">
        <v>72</v>
      </c>
      <c r="C131" s="1" t="s">
        <v>33</v>
      </c>
      <c r="D131" s="1" t="s">
        <v>206</v>
      </c>
      <c r="E131" s="12">
        <v>1657.85</v>
      </c>
      <c r="F131" s="19" t="s">
        <v>233</v>
      </c>
      <c r="G131" s="12">
        <f>'[1]ук(2016)'!$DC$51</f>
        <v>5090.9508000000005</v>
      </c>
      <c r="H131" s="12"/>
      <c r="J131" s="10">
        <v>0.8928571428571429</v>
      </c>
    </row>
    <row r="132" spans="1:10" ht="15.75">
      <c r="A132" s="6" t="s">
        <v>319</v>
      </c>
      <c r="B132" s="1" t="s">
        <v>73</v>
      </c>
      <c r="C132" s="1" t="s">
        <v>33</v>
      </c>
      <c r="D132" s="1" t="s">
        <v>207</v>
      </c>
      <c r="J132" s="10">
        <v>0.8928571428571429</v>
      </c>
    </row>
    <row r="133" spans="1:10" ht="15.75">
      <c r="A133" s="6" t="s">
        <v>320</v>
      </c>
      <c r="B133" s="1" t="s">
        <v>30</v>
      </c>
      <c r="C133" s="1" t="s">
        <v>33</v>
      </c>
      <c r="D133" s="1" t="s">
        <v>2</v>
      </c>
      <c r="J133" s="10">
        <v>0.8928571428571429</v>
      </c>
    </row>
    <row r="134" spans="1:10" ht="15.75">
      <c r="A134" s="6" t="s">
        <v>321</v>
      </c>
      <c r="B134" s="1" t="s">
        <v>74</v>
      </c>
      <c r="C134" s="1" t="s">
        <v>39</v>
      </c>
      <c r="D134" s="7">
        <f>E131/E2</f>
        <v>0.11723271810051669</v>
      </c>
      <c r="J134" s="10">
        <v>0.8928571428571429</v>
      </c>
    </row>
    <row r="135" spans="1:10" ht="31.5">
      <c r="A135" s="6" t="s">
        <v>322</v>
      </c>
      <c r="B135" s="1" t="s">
        <v>72</v>
      </c>
      <c r="C135" s="1" t="s">
        <v>33</v>
      </c>
      <c r="D135" s="1" t="s">
        <v>192</v>
      </c>
      <c r="E135" s="12">
        <v>4864.69</v>
      </c>
      <c r="F135" s="19">
        <f>5382.27+4149.12+169.7</f>
        <v>9701.09</v>
      </c>
      <c r="G135" s="12">
        <f>'[1]ук(2016)'!$DC$53+'[1]ук(2016)'!$DC$60</f>
        <v>12048.583560000001</v>
      </c>
      <c r="H135" s="19">
        <f>2655.78+5382.27</f>
        <v>8038.050000000001</v>
      </c>
      <c r="I135" s="19">
        <f>5382.27+4149.12+169.7</f>
        <v>9701.09</v>
      </c>
      <c r="J135" s="10">
        <v>0.8928571428571429</v>
      </c>
    </row>
    <row r="136" spans="1:10" ht="15.75">
      <c r="A136" s="6" t="s">
        <v>323</v>
      </c>
      <c r="B136" s="1" t="s">
        <v>73</v>
      </c>
      <c r="C136" s="1" t="s">
        <v>33</v>
      </c>
      <c r="D136" s="1" t="s">
        <v>209</v>
      </c>
      <c r="J136" s="10">
        <v>0.8928571428571429</v>
      </c>
    </row>
    <row r="137" spans="1:10" ht="15.75">
      <c r="A137" s="6" t="s">
        <v>324</v>
      </c>
      <c r="B137" s="1" t="s">
        <v>30</v>
      </c>
      <c r="C137" s="1" t="s">
        <v>33</v>
      </c>
      <c r="D137" s="1" t="s">
        <v>2</v>
      </c>
      <c r="J137" s="10">
        <v>0.8928571428571429</v>
      </c>
    </row>
    <row r="138" spans="1:10" ht="15.75">
      <c r="A138" s="6" t="s">
        <v>325</v>
      </c>
      <c r="B138" s="1" t="s">
        <v>74</v>
      </c>
      <c r="C138" s="1" t="s">
        <v>39</v>
      </c>
      <c r="D138" s="7">
        <f>E135/E2</f>
        <v>0.34400026022643937</v>
      </c>
      <c r="J138" s="10">
        <v>0.8928571428571429</v>
      </c>
    </row>
    <row r="139" spans="1:10" ht="31.5">
      <c r="A139" s="6" t="s">
        <v>326</v>
      </c>
      <c r="B139" s="1" t="s">
        <v>72</v>
      </c>
      <c r="C139" s="1" t="s">
        <v>33</v>
      </c>
      <c r="D139" s="1" t="s">
        <v>193</v>
      </c>
      <c r="E139" s="12">
        <v>44812.33</v>
      </c>
      <c r="F139" s="19">
        <f>36095.64</f>
        <v>36095.64</v>
      </c>
      <c r="G139" s="12">
        <f>'[1]ук(2016)'!$DC$57</f>
        <v>128461.65852000001</v>
      </c>
      <c r="H139" s="19">
        <f>79733.78</f>
        <v>79733.78</v>
      </c>
      <c r="I139" s="19">
        <f>36095.64</f>
        <v>36095.64</v>
      </c>
      <c r="J139" s="10">
        <v>0.8928571428571429</v>
      </c>
    </row>
    <row r="140" spans="1:10" ht="15.75">
      <c r="A140" s="6" t="s">
        <v>327</v>
      </c>
      <c r="B140" s="1" t="s">
        <v>73</v>
      </c>
      <c r="C140" s="1" t="s">
        <v>33</v>
      </c>
      <c r="D140" s="1" t="s">
        <v>14</v>
      </c>
      <c r="J140" s="10">
        <v>0.8928571428571429</v>
      </c>
    </row>
    <row r="141" spans="1:10" ht="15.75">
      <c r="A141" s="6" t="s">
        <v>328</v>
      </c>
      <c r="B141" s="1" t="s">
        <v>30</v>
      </c>
      <c r="C141" s="1" t="s">
        <v>33</v>
      </c>
      <c r="D141" s="1" t="s">
        <v>2</v>
      </c>
      <c r="J141" s="10">
        <v>0.8928571428571429</v>
      </c>
    </row>
    <row r="142" spans="1:10" ht="15.75">
      <c r="A142" s="6" t="s">
        <v>329</v>
      </c>
      <c r="B142" s="1" t="s">
        <v>74</v>
      </c>
      <c r="C142" s="1" t="s">
        <v>39</v>
      </c>
      <c r="D142" s="7">
        <f>E139/E2</f>
        <v>3.16884594524072</v>
      </c>
      <c r="J142" s="10">
        <v>0.8928571428571429</v>
      </c>
    </row>
    <row r="143" spans="1:10" ht="31.5">
      <c r="A143" s="6" t="s">
        <v>330</v>
      </c>
      <c r="B143" s="1" t="s">
        <v>72</v>
      </c>
      <c r="C143" s="1" t="s">
        <v>33</v>
      </c>
      <c r="D143" s="1" t="s">
        <v>194</v>
      </c>
      <c r="E143" s="19">
        <v>10181.9</v>
      </c>
      <c r="G143" s="12">
        <f>'[1]ук(2016)'!$DC$58</f>
        <v>26812.340880000003</v>
      </c>
      <c r="H143" s="12"/>
      <c r="J143" s="10">
        <v>0.8928571428571429</v>
      </c>
    </row>
    <row r="144" spans="1:10" ht="15.75">
      <c r="A144" s="6" t="s">
        <v>331</v>
      </c>
      <c r="B144" s="1" t="s">
        <v>73</v>
      </c>
      <c r="C144" s="1" t="s">
        <v>33</v>
      </c>
      <c r="D144" s="1" t="s">
        <v>16</v>
      </c>
      <c r="J144" s="10">
        <v>0.8928571428571429</v>
      </c>
    </row>
    <row r="145" spans="1:10" ht="15.75">
      <c r="A145" s="6" t="s">
        <v>332</v>
      </c>
      <c r="B145" s="1" t="s">
        <v>30</v>
      </c>
      <c r="C145" s="1" t="s">
        <v>33</v>
      </c>
      <c r="D145" s="1" t="s">
        <v>2</v>
      </c>
      <c r="J145" s="10">
        <v>0.8928571428571429</v>
      </c>
    </row>
    <row r="146" spans="1:10" ht="15.75">
      <c r="A146" s="6" t="s">
        <v>333</v>
      </c>
      <c r="B146" s="1" t="s">
        <v>74</v>
      </c>
      <c r="C146" s="1" t="s">
        <v>39</v>
      </c>
      <c r="D146" s="7">
        <f>E143/E2</f>
        <v>0.7199998868580697</v>
      </c>
      <c r="J146" s="10">
        <v>0.8928571428571429</v>
      </c>
    </row>
    <row r="147" spans="1:10" ht="31.5">
      <c r="A147" s="6" t="s">
        <v>334</v>
      </c>
      <c r="B147" s="1" t="s">
        <v>72</v>
      </c>
      <c r="C147" s="1" t="s">
        <v>33</v>
      </c>
      <c r="D147" s="1" t="s">
        <v>197</v>
      </c>
      <c r="E147" s="19">
        <v>8824.31</v>
      </c>
      <c r="F147" s="19">
        <f>32465.32+79733.38+17207.41</f>
        <v>129406.11000000002</v>
      </c>
      <c r="G147" s="12">
        <f>'[1]ук(2016)'!$DC$56</f>
        <v>43782.17688</v>
      </c>
      <c r="H147" s="12"/>
      <c r="I147" s="19">
        <f>32465.32+79733.38+17207.41</f>
        <v>129406.11000000002</v>
      </c>
      <c r="J147" s="10">
        <v>0.8928571428571429</v>
      </c>
    </row>
    <row r="148" spans="1:10" ht="15.75">
      <c r="A148" s="6" t="s">
        <v>335</v>
      </c>
      <c r="B148" s="1" t="s">
        <v>73</v>
      </c>
      <c r="C148" s="1" t="s">
        <v>33</v>
      </c>
      <c r="D148" s="1" t="s">
        <v>7</v>
      </c>
      <c r="J148" s="10">
        <v>0.8928571428571429</v>
      </c>
    </row>
    <row r="149" spans="1:10" ht="15.75">
      <c r="A149" s="6" t="s">
        <v>336</v>
      </c>
      <c r="B149" s="1" t="s">
        <v>30</v>
      </c>
      <c r="C149" s="1" t="s">
        <v>33</v>
      </c>
      <c r="D149" s="1" t="s">
        <v>2</v>
      </c>
      <c r="J149" s="10">
        <v>0.8928571428571429</v>
      </c>
    </row>
    <row r="150" spans="1:10" ht="15.75">
      <c r="A150" s="6" t="s">
        <v>337</v>
      </c>
      <c r="B150" s="1" t="s">
        <v>74</v>
      </c>
      <c r="C150" s="1" t="s">
        <v>39</v>
      </c>
      <c r="D150" s="7">
        <f>E147/E2</f>
        <v>0.6239996662313059</v>
      </c>
      <c r="J150" s="10">
        <v>0.8928571428571429</v>
      </c>
    </row>
    <row r="151" spans="1:10" ht="31.5" hidden="1">
      <c r="A151" s="6" t="s">
        <v>338</v>
      </c>
      <c r="B151" s="1" t="s">
        <v>72</v>
      </c>
      <c r="C151" s="1" t="s">
        <v>33</v>
      </c>
      <c r="D151" s="1" t="s">
        <v>15</v>
      </c>
      <c r="E151" s="19">
        <f>0</f>
        <v>0</v>
      </c>
      <c r="G151" s="12">
        <f>'[1]ук(2016)'!$DC$61</f>
        <v>46497.350640000004</v>
      </c>
      <c r="H151" s="12"/>
      <c r="I151" s="19">
        <f>23248.68+24083.03</f>
        <v>47331.71</v>
      </c>
      <c r="J151" s="10">
        <v>0.8928571428571429</v>
      </c>
    </row>
    <row r="152" spans="1:10" ht="15.75" hidden="1">
      <c r="A152" s="6" t="s">
        <v>339</v>
      </c>
      <c r="B152" s="1" t="s">
        <v>73</v>
      </c>
      <c r="C152" s="1" t="s">
        <v>33</v>
      </c>
      <c r="D152" s="1" t="s">
        <v>7</v>
      </c>
      <c r="J152" s="10">
        <v>0.8928571428571429</v>
      </c>
    </row>
    <row r="153" spans="1:10" ht="15.75" hidden="1">
      <c r="A153" s="6" t="s">
        <v>340</v>
      </c>
      <c r="B153" s="1" t="s">
        <v>30</v>
      </c>
      <c r="C153" s="1" t="s">
        <v>33</v>
      </c>
      <c r="D153" s="1" t="s">
        <v>2</v>
      </c>
      <c r="J153" s="10">
        <v>0.8928571428571429</v>
      </c>
    </row>
    <row r="154" spans="1:10" ht="15.75" hidden="1">
      <c r="A154" s="6" t="s">
        <v>341</v>
      </c>
      <c r="B154" s="1" t="s">
        <v>74</v>
      </c>
      <c r="C154" s="1" t="s">
        <v>39</v>
      </c>
      <c r="D154" s="7">
        <f>E151/E2</f>
        <v>0</v>
      </c>
      <c r="J154" s="10">
        <v>0.8928571428571429</v>
      </c>
    </row>
    <row r="155" spans="1:10" ht="31.5">
      <c r="A155" s="6" t="s">
        <v>342</v>
      </c>
      <c r="B155" s="1" t="s">
        <v>72</v>
      </c>
      <c r="C155" s="1" t="s">
        <v>33</v>
      </c>
      <c r="D155" s="1" t="s">
        <v>196</v>
      </c>
      <c r="E155" s="12">
        <v>25862.03</v>
      </c>
      <c r="F155" s="19">
        <f>2128.3+17814.09</f>
        <v>19942.39</v>
      </c>
      <c r="G155" s="12">
        <f>'[1]ук(2016)'!$DC$52</f>
        <v>35466.957239999996</v>
      </c>
      <c r="H155" s="19">
        <f>2128.3+10478.87</f>
        <v>12607.170000000002</v>
      </c>
      <c r="I155" s="19">
        <f>2128.3+17814.09</f>
        <v>19942.39</v>
      </c>
      <c r="J155" s="10">
        <v>0.8928571428571429</v>
      </c>
    </row>
    <row r="156" spans="1:10" ht="15.75">
      <c r="A156" s="6" t="s">
        <v>343</v>
      </c>
      <c r="B156" s="1" t="s">
        <v>73</v>
      </c>
      <c r="C156" s="1" t="s">
        <v>33</v>
      </c>
      <c r="D156" s="1" t="s">
        <v>208</v>
      </c>
      <c r="J156" s="10">
        <v>0.8928571428571429</v>
      </c>
    </row>
    <row r="157" spans="1:10" ht="15.75">
      <c r="A157" s="6" t="s">
        <v>344</v>
      </c>
      <c r="B157" s="1" t="s">
        <v>30</v>
      </c>
      <c r="C157" s="1" t="s">
        <v>33</v>
      </c>
      <c r="D157" s="1" t="s">
        <v>2</v>
      </c>
      <c r="J157" s="10">
        <v>0.8928571428571429</v>
      </c>
    </row>
    <row r="158" spans="1:10" ht="15.75">
      <c r="A158" s="6" t="s">
        <v>345</v>
      </c>
      <c r="B158" s="1" t="s">
        <v>74</v>
      </c>
      <c r="C158" s="1" t="s">
        <v>39</v>
      </c>
      <c r="D158" s="7">
        <f>E155/E2</f>
        <v>1.8287999954743226</v>
      </c>
      <c r="J158" s="10">
        <v>0.8928571428571429</v>
      </c>
    </row>
    <row r="159" spans="1:10" ht="31.5">
      <c r="A159" s="6" t="s">
        <v>346</v>
      </c>
      <c r="B159" s="1" t="s">
        <v>72</v>
      </c>
      <c r="C159" s="1" t="s">
        <v>33</v>
      </c>
      <c r="D159" s="1" t="s">
        <v>198</v>
      </c>
      <c r="E159" s="12">
        <v>1900.62</v>
      </c>
      <c r="F159" s="19">
        <f>12755.66+6705.91</f>
        <v>19461.57</v>
      </c>
      <c r="G159" s="12">
        <f>'[1]ук(2016)'!$DC$50</f>
        <v>25794.15072</v>
      </c>
      <c r="H159" s="19">
        <f>7653.4+6705.91</f>
        <v>14359.31</v>
      </c>
      <c r="I159" s="19">
        <f>12755.66+6705.91</f>
        <v>19461.57</v>
      </c>
      <c r="J159" s="10">
        <v>0.8928571428571429</v>
      </c>
    </row>
    <row r="160" spans="1:10" ht="15.75">
      <c r="A160" s="6" t="s">
        <v>347</v>
      </c>
      <c r="B160" s="1" t="s">
        <v>73</v>
      </c>
      <c r="C160" s="1" t="s">
        <v>33</v>
      </c>
      <c r="D160" s="1" t="s">
        <v>16</v>
      </c>
      <c r="J160" s="10">
        <v>0.8928571428571429</v>
      </c>
    </row>
    <row r="161" spans="1:10" ht="15.75">
      <c r="A161" s="6" t="s">
        <v>348</v>
      </c>
      <c r="B161" s="1" t="s">
        <v>30</v>
      </c>
      <c r="C161" s="1" t="s">
        <v>33</v>
      </c>
      <c r="D161" s="1" t="s">
        <v>2</v>
      </c>
      <c r="J161" s="10">
        <v>0.8928571428571429</v>
      </c>
    </row>
    <row r="162" spans="1:10" ht="15.75">
      <c r="A162" s="6" t="s">
        <v>349</v>
      </c>
      <c r="B162" s="1" t="s">
        <v>74</v>
      </c>
      <c r="C162" s="1" t="s">
        <v>39</v>
      </c>
      <c r="D162" s="7">
        <f>E159/E2</f>
        <v>0.1343998845952312</v>
      </c>
      <c r="J162" s="10">
        <v>0.8928571428571429</v>
      </c>
    </row>
    <row r="163" spans="1:10" ht="31.5">
      <c r="A163" s="6" t="s">
        <v>350</v>
      </c>
      <c r="B163" s="1" t="s">
        <v>72</v>
      </c>
      <c r="C163" s="1" t="s">
        <v>33</v>
      </c>
      <c r="D163" s="1" t="s">
        <v>199</v>
      </c>
      <c r="E163" s="12">
        <v>0</v>
      </c>
      <c r="F163" s="19">
        <f>8292.59</f>
        <v>8292.59</v>
      </c>
      <c r="G163" s="12">
        <f>'[1]ук(2016)'!$DC$59</f>
        <v>13915.26552</v>
      </c>
      <c r="H163" s="19">
        <v>8292.59</v>
      </c>
      <c r="I163" s="19">
        <f>8292.59</f>
        <v>8292.59</v>
      </c>
      <c r="J163" s="10">
        <v>0.8928571428571429</v>
      </c>
    </row>
    <row r="164" spans="1:10" ht="15.75">
      <c r="A164" s="6" t="s">
        <v>351</v>
      </c>
      <c r="B164" s="1" t="s">
        <v>73</v>
      </c>
      <c r="C164" s="1" t="s">
        <v>33</v>
      </c>
      <c r="D164" s="1" t="s">
        <v>178</v>
      </c>
      <c r="J164" s="10">
        <v>0.8928571428571429</v>
      </c>
    </row>
    <row r="165" spans="1:10" ht="15.75">
      <c r="A165" s="6" t="s">
        <v>352</v>
      </c>
      <c r="B165" s="1" t="s">
        <v>30</v>
      </c>
      <c r="C165" s="1" t="s">
        <v>33</v>
      </c>
      <c r="D165" s="1" t="s">
        <v>2</v>
      </c>
      <c r="J165" s="10">
        <v>0.8928571428571429</v>
      </c>
    </row>
    <row r="166" spans="1:10" ht="15.75">
      <c r="A166" s="6" t="s">
        <v>353</v>
      </c>
      <c r="B166" s="1" t="s">
        <v>74</v>
      </c>
      <c r="C166" s="1" t="s">
        <v>39</v>
      </c>
      <c r="D166" s="7">
        <f>E163/E2</f>
        <v>0</v>
      </c>
      <c r="J166" s="10">
        <v>0.8928571428571429</v>
      </c>
    </row>
    <row r="167" spans="1:10" ht="47.25">
      <c r="A167" s="20" t="s">
        <v>93</v>
      </c>
      <c r="B167" s="3" t="s">
        <v>70</v>
      </c>
      <c r="C167" s="3" t="s">
        <v>33</v>
      </c>
      <c r="D167" s="3" t="s">
        <v>17</v>
      </c>
      <c r="E167" s="4"/>
      <c r="I167" s="4"/>
      <c r="J167" s="10">
        <v>0.8928571428571429</v>
      </c>
    </row>
    <row r="168" spans="1:10" ht="15.75">
      <c r="A168" s="6" t="s">
        <v>354</v>
      </c>
      <c r="B168" s="1" t="s">
        <v>71</v>
      </c>
      <c r="C168" s="1" t="s">
        <v>39</v>
      </c>
      <c r="D168" s="11">
        <f>E169+E173+E177+E181+E185+E189+E193</f>
        <v>157103.27532344</v>
      </c>
      <c r="E168" s="4"/>
      <c r="I168" s="4"/>
      <c r="J168" s="10">
        <v>0.8928571428571429</v>
      </c>
    </row>
    <row r="169" spans="1:11" ht="31.5">
      <c r="A169" s="6" t="s">
        <v>94</v>
      </c>
      <c r="B169" s="1" t="s">
        <v>72</v>
      </c>
      <c r="C169" s="1" t="s">
        <v>33</v>
      </c>
      <c r="D169" s="1" t="s">
        <v>214</v>
      </c>
      <c r="E169" s="15">
        <f>'[3]Плеханова 3 с 01.09.18'!$D$15*4*E2</f>
        <v>961.6240400000002</v>
      </c>
      <c r="F169" s="16">
        <f>3027.35/12*10+3027.35/12/28*20</f>
        <v>2702.991071428571</v>
      </c>
      <c r="G169" s="12">
        <f>'[1]ук(2016)'!$DC$27</f>
        <v>678.79344</v>
      </c>
      <c r="H169" s="12"/>
      <c r="I169" s="4">
        <f>2148.426</f>
        <v>2148.426</v>
      </c>
      <c r="J169" s="10">
        <v>0.8928571428571429</v>
      </c>
      <c r="K169" s="15">
        <v>1</v>
      </c>
    </row>
    <row r="170" spans="1:11" ht="15.75">
      <c r="A170" s="6" t="s">
        <v>95</v>
      </c>
      <c r="B170" s="1" t="s">
        <v>73</v>
      </c>
      <c r="C170" s="1" t="s">
        <v>33</v>
      </c>
      <c r="D170" s="1" t="s">
        <v>90</v>
      </c>
      <c r="E170" s="4"/>
      <c r="I170" s="4"/>
      <c r="J170" s="10">
        <v>0.8928571428571429</v>
      </c>
      <c r="K170" s="4"/>
    </row>
    <row r="171" spans="1:10" ht="15.75">
      <c r="A171" s="6" t="s">
        <v>96</v>
      </c>
      <c r="B171" s="1" t="s">
        <v>30</v>
      </c>
      <c r="C171" s="1" t="s">
        <v>33</v>
      </c>
      <c r="D171" s="1" t="s">
        <v>6</v>
      </c>
      <c r="J171" s="10">
        <v>0.8928571428571429</v>
      </c>
    </row>
    <row r="172" spans="1:11" ht="15.75">
      <c r="A172" s="6" t="s">
        <v>97</v>
      </c>
      <c r="B172" s="1" t="s">
        <v>74</v>
      </c>
      <c r="C172" s="1" t="s">
        <v>39</v>
      </c>
      <c r="D172" s="7">
        <f>E169/K169</f>
        <v>961.6240400000002</v>
      </c>
      <c r="E172" s="4"/>
      <c r="I172" s="4"/>
      <c r="J172" s="10">
        <v>0.8928571428571429</v>
      </c>
      <c r="K172" s="4"/>
    </row>
    <row r="173" spans="1:11" ht="31.5">
      <c r="A173" s="6" t="s">
        <v>98</v>
      </c>
      <c r="B173" s="1" t="s">
        <v>72</v>
      </c>
      <c r="C173" s="1" t="s">
        <v>33</v>
      </c>
      <c r="D173" s="7" t="s">
        <v>217</v>
      </c>
      <c r="E173" s="4">
        <f>('[4]ук(2016)'!$BJ$37+'[4]ук(2016)'!$BJ$41)*4*'[4]ук(2016)'!$BJ$3</f>
        <v>3295.65528344</v>
      </c>
      <c r="I173" s="4"/>
      <c r="J173" s="10"/>
      <c r="K173" s="4">
        <v>2</v>
      </c>
    </row>
    <row r="174" spans="1:11" ht="15.75">
      <c r="A174" s="6" t="s">
        <v>99</v>
      </c>
      <c r="B174" s="1" t="s">
        <v>73</v>
      </c>
      <c r="C174" s="1" t="s">
        <v>33</v>
      </c>
      <c r="D174" s="7" t="s">
        <v>213</v>
      </c>
      <c r="E174" s="4"/>
      <c r="I174" s="4"/>
      <c r="J174" s="10"/>
      <c r="K174" s="4"/>
    </row>
    <row r="175" spans="1:11" ht="15.75">
      <c r="A175" s="6" t="s">
        <v>100</v>
      </c>
      <c r="B175" s="1" t="s">
        <v>30</v>
      </c>
      <c r="C175" s="1" t="s">
        <v>33</v>
      </c>
      <c r="D175" s="1" t="s">
        <v>6</v>
      </c>
      <c r="E175" s="4"/>
      <c r="I175" s="4"/>
      <c r="J175" s="10"/>
      <c r="K175" s="4"/>
    </row>
    <row r="176" spans="1:11" ht="15.75">
      <c r="A176" s="6" t="s">
        <v>101</v>
      </c>
      <c r="B176" s="1" t="s">
        <v>74</v>
      </c>
      <c r="C176" s="1" t="s">
        <v>39</v>
      </c>
      <c r="D176" s="7">
        <f>E173/K173</f>
        <v>1647.82764172</v>
      </c>
      <c r="E176" s="4"/>
      <c r="I176" s="4"/>
      <c r="J176" s="10"/>
      <c r="K176" s="4"/>
    </row>
    <row r="177" spans="1:11" ht="31.5">
      <c r="A177" s="6" t="s">
        <v>355</v>
      </c>
      <c r="B177" s="1" t="s">
        <v>72</v>
      </c>
      <c r="C177" s="1" t="s">
        <v>33</v>
      </c>
      <c r="D177" s="7" t="s">
        <v>216</v>
      </c>
      <c r="E177" s="4">
        <f>2148.426</f>
        <v>2148.426</v>
      </c>
      <c r="I177" s="4"/>
      <c r="J177" s="10"/>
      <c r="K177" s="4">
        <v>1</v>
      </c>
    </row>
    <row r="178" spans="1:11" ht="15.75">
      <c r="A178" s="6" t="s">
        <v>356</v>
      </c>
      <c r="B178" s="1" t="s">
        <v>73</v>
      </c>
      <c r="C178" s="1" t="s">
        <v>33</v>
      </c>
      <c r="D178" s="7" t="s">
        <v>213</v>
      </c>
      <c r="E178" s="4"/>
      <c r="I178" s="4"/>
      <c r="J178" s="10"/>
      <c r="K178" s="4"/>
    </row>
    <row r="179" spans="1:11" ht="15.75">
      <c r="A179" s="6" t="s">
        <v>357</v>
      </c>
      <c r="B179" s="1" t="s">
        <v>30</v>
      </c>
      <c r="C179" s="1" t="s">
        <v>33</v>
      </c>
      <c r="D179" s="1" t="s">
        <v>6</v>
      </c>
      <c r="E179" s="4"/>
      <c r="I179" s="4"/>
      <c r="J179" s="10"/>
      <c r="K179" s="4"/>
    </row>
    <row r="180" spans="1:11" ht="15.75">
      <c r="A180" s="6" t="s">
        <v>358</v>
      </c>
      <c r="B180" s="1" t="s">
        <v>74</v>
      </c>
      <c r="C180" s="1" t="s">
        <v>39</v>
      </c>
      <c r="D180" s="7">
        <f>E177/K177</f>
        <v>2148.426</v>
      </c>
      <c r="E180" s="4"/>
      <c r="I180" s="4"/>
      <c r="J180" s="10"/>
      <c r="K180" s="4"/>
    </row>
    <row r="181" spans="1:10" ht="31.5">
      <c r="A181" s="6" t="s">
        <v>359</v>
      </c>
      <c r="B181" s="1" t="s">
        <v>72</v>
      </c>
      <c r="C181" s="1" t="s">
        <v>33</v>
      </c>
      <c r="D181" s="1" t="s">
        <v>180</v>
      </c>
      <c r="E181" s="19">
        <v>12733.28</v>
      </c>
      <c r="G181" s="12"/>
      <c r="H181" s="12"/>
      <c r="J181" s="10"/>
    </row>
    <row r="182" spans="1:10" ht="15.75">
      <c r="A182" s="6" t="s">
        <v>360</v>
      </c>
      <c r="B182" s="1" t="s">
        <v>73</v>
      </c>
      <c r="C182" s="1" t="s">
        <v>33</v>
      </c>
      <c r="D182" s="1" t="s">
        <v>9</v>
      </c>
      <c r="J182" s="10"/>
    </row>
    <row r="183" spans="1:10" ht="15.75">
      <c r="A183" s="6" t="s">
        <v>361</v>
      </c>
      <c r="B183" s="1" t="s">
        <v>30</v>
      </c>
      <c r="C183" s="1" t="s">
        <v>33</v>
      </c>
      <c r="D183" s="1" t="s">
        <v>2</v>
      </c>
      <c r="J183" s="10"/>
    </row>
    <row r="184" spans="1:10" ht="15.75">
      <c r="A184" s="6" t="s">
        <v>362</v>
      </c>
      <c r="B184" s="1" t="s">
        <v>74</v>
      </c>
      <c r="C184" s="1" t="s">
        <v>39</v>
      </c>
      <c r="D184" s="7">
        <f>E181/E2</f>
        <v>0.9004174230086843</v>
      </c>
      <c r="J184" s="10"/>
    </row>
    <row r="185" spans="1:11" ht="93.75" customHeight="1">
      <c r="A185" s="6" t="s">
        <v>363</v>
      </c>
      <c r="B185" s="1" t="s">
        <v>72</v>
      </c>
      <c r="C185" s="1" t="s">
        <v>33</v>
      </c>
      <c r="D185" s="1" t="s">
        <v>215</v>
      </c>
      <c r="E185" s="16">
        <f>26862.47+3722.04</f>
        <v>30584.510000000002</v>
      </c>
      <c r="G185" s="12"/>
      <c r="J185" s="10"/>
      <c r="K185" s="16"/>
    </row>
    <row r="186" spans="1:10" ht="15.75">
      <c r="A186" s="6" t="s">
        <v>364</v>
      </c>
      <c r="B186" s="1" t="s">
        <v>73</v>
      </c>
      <c r="C186" s="1" t="s">
        <v>33</v>
      </c>
      <c r="D186" s="1" t="s">
        <v>10</v>
      </c>
      <c r="F186" s="19">
        <v>31897.16</v>
      </c>
      <c r="G186" s="17">
        <f>F185/F186</f>
        <v>0</v>
      </c>
      <c r="H186" s="17"/>
      <c r="J186" s="10">
        <v>0.8928571428571429</v>
      </c>
    </row>
    <row r="187" spans="1:10" ht="15.75">
      <c r="A187" s="6" t="s">
        <v>365</v>
      </c>
      <c r="B187" s="1" t="s">
        <v>30</v>
      </c>
      <c r="C187" s="1" t="s">
        <v>33</v>
      </c>
      <c r="D187" s="1" t="s">
        <v>2</v>
      </c>
      <c r="F187" s="19">
        <f>F186*G186</f>
        <v>0</v>
      </c>
      <c r="J187" s="19">
        <v>0.8928571428571429</v>
      </c>
    </row>
    <row r="188" spans="1:10" ht="15.75">
      <c r="A188" s="6" t="s">
        <v>366</v>
      </c>
      <c r="B188" s="1" t="s">
        <v>74</v>
      </c>
      <c r="C188" s="1" t="s">
        <v>39</v>
      </c>
      <c r="D188" s="7">
        <f>E185/E2</f>
        <v>2.1627440595183125</v>
      </c>
      <c r="J188" s="19">
        <v>0.8928571428571429</v>
      </c>
    </row>
    <row r="189" spans="1:11" ht="31.5">
      <c r="A189" s="6" t="s">
        <v>367</v>
      </c>
      <c r="B189" s="1" t="s">
        <v>72</v>
      </c>
      <c r="C189" s="1" t="s">
        <v>33</v>
      </c>
      <c r="D189" s="1" t="s">
        <v>179</v>
      </c>
      <c r="E189" s="16">
        <v>272.9</v>
      </c>
      <c r="F189" s="18"/>
      <c r="K189" s="16"/>
    </row>
    <row r="190" spans="1:4" ht="15.75">
      <c r="A190" s="6" t="s">
        <v>368</v>
      </c>
      <c r="B190" s="1" t="s">
        <v>73</v>
      </c>
      <c r="C190" s="1" t="s">
        <v>33</v>
      </c>
      <c r="D190" s="1" t="s">
        <v>9</v>
      </c>
    </row>
    <row r="191" spans="1:4" ht="15.75">
      <c r="A191" s="6" t="s">
        <v>369</v>
      </c>
      <c r="B191" s="1" t="s">
        <v>30</v>
      </c>
      <c r="C191" s="1" t="s">
        <v>33</v>
      </c>
      <c r="D191" s="1" t="s">
        <v>2</v>
      </c>
    </row>
    <row r="192" spans="1:4" ht="19.5" customHeight="1">
      <c r="A192" s="6" t="s">
        <v>370</v>
      </c>
      <c r="B192" s="1" t="s">
        <v>74</v>
      </c>
      <c r="C192" s="1" t="s">
        <v>39</v>
      </c>
      <c r="D192" s="7">
        <f>E189/E2</f>
        <v>0.019297770467551954</v>
      </c>
    </row>
    <row r="193" spans="1:6" ht="234.75" customHeight="1">
      <c r="A193" s="6" t="s">
        <v>371</v>
      </c>
      <c r="B193" s="1" t="s">
        <v>72</v>
      </c>
      <c r="C193" s="1" t="s">
        <v>33</v>
      </c>
      <c r="D193" s="1" t="s">
        <v>218</v>
      </c>
      <c r="E193" s="19">
        <f>21411.73+17817.96+29767.04+37617.03+493.12</f>
        <v>107106.88</v>
      </c>
      <c r="F193" s="19" t="s">
        <v>242</v>
      </c>
    </row>
    <row r="194" spans="1:10" ht="15.75">
      <c r="A194" s="6" t="s">
        <v>372</v>
      </c>
      <c r="B194" s="1" t="s">
        <v>73</v>
      </c>
      <c r="C194" s="1" t="s">
        <v>33</v>
      </c>
      <c r="D194" s="1" t="s">
        <v>219</v>
      </c>
      <c r="J194" s="19">
        <v>0.8928571428571429</v>
      </c>
    </row>
    <row r="195" spans="1:10" ht="15.75">
      <c r="A195" s="6" t="s">
        <v>373</v>
      </c>
      <c r="B195" s="1" t="s">
        <v>30</v>
      </c>
      <c r="C195" s="1" t="s">
        <v>33</v>
      </c>
      <c r="D195" s="1" t="s">
        <v>2</v>
      </c>
      <c r="J195" s="19">
        <v>0.8928571428571429</v>
      </c>
    </row>
    <row r="196" spans="1:10" ht="15.75">
      <c r="A196" s="6" t="s">
        <v>374</v>
      </c>
      <c r="B196" s="1" t="s">
        <v>74</v>
      </c>
      <c r="C196" s="1" t="s">
        <v>39</v>
      </c>
      <c r="D196" s="7">
        <f>E193/E2</f>
        <v>7.573924462204585</v>
      </c>
      <c r="J196" s="19">
        <v>0.8928571428571429</v>
      </c>
    </row>
    <row r="197" spans="1:10" ht="47.25">
      <c r="A197" s="20" t="s">
        <v>102</v>
      </c>
      <c r="B197" s="3" t="s">
        <v>70</v>
      </c>
      <c r="C197" s="3" t="s">
        <v>33</v>
      </c>
      <c r="D197" s="3" t="s">
        <v>19</v>
      </c>
      <c r="J197" s="19">
        <v>0.8928571428571429</v>
      </c>
    </row>
    <row r="198" spans="1:10" ht="18.75">
      <c r="A198" s="6" t="s">
        <v>375</v>
      </c>
      <c r="B198" s="1" t="s">
        <v>71</v>
      </c>
      <c r="C198" s="1" t="s">
        <v>39</v>
      </c>
      <c r="D198" s="11">
        <f>E199+E203+E207+E211+E215+E219+E200</f>
        <v>59841.33</v>
      </c>
      <c r="F198" s="8"/>
      <c r="J198" s="19">
        <v>0.8928571428571429</v>
      </c>
    </row>
    <row r="199" spans="1:10" ht="31.5">
      <c r="A199" s="6" t="s">
        <v>103</v>
      </c>
      <c r="B199" s="1" t="s">
        <v>72</v>
      </c>
      <c r="C199" s="1" t="s">
        <v>33</v>
      </c>
      <c r="D199" s="1" t="s">
        <v>222</v>
      </c>
      <c r="E199" s="12">
        <f>17108.23</f>
        <v>17108.23</v>
      </c>
      <c r="F199" s="19">
        <f>61071.38*J199</f>
        <v>54528.017857142855</v>
      </c>
      <c r="G199" s="12">
        <f>'[1]ук(2016)'!$DC$11+'[1]ук(2016)'!$DC$13</f>
        <v>50909.508</v>
      </c>
      <c r="H199" s="12">
        <v>613.15</v>
      </c>
      <c r="I199" s="19">
        <v>0</v>
      </c>
      <c r="J199" s="19">
        <v>0.8928571428571429</v>
      </c>
    </row>
    <row r="200" spans="1:10" ht="15.75">
      <c r="A200" s="6" t="s">
        <v>104</v>
      </c>
      <c r="B200" s="1" t="s">
        <v>73</v>
      </c>
      <c r="C200" s="1" t="s">
        <v>33</v>
      </c>
      <c r="D200" s="1" t="s">
        <v>90</v>
      </c>
      <c r="E200" s="19">
        <v>23057.45</v>
      </c>
      <c r="F200" s="19">
        <v>95</v>
      </c>
      <c r="G200" s="19" t="s">
        <v>232</v>
      </c>
      <c r="J200" s="19">
        <v>0.8928571428571429</v>
      </c>
    </row>
    <row r="201" spans="1:10" ht="15.75">
      <c r="A201" s="6" t="s">
        <v>105</v>
      </c>
      <c r="B201" s="1" t="s">
        <v>30</v>
      </c>
      <c r="C201" s="1" t="s">
        <v>33</v>
      </c>
      <c r="D201" s="1" t="s">
        <v>2</v>
      </c>
      <c r="J201" s="19">
        <v>0.8928571428571429</v>
      </c>
    </row>
    <row r="202" spans="1:10" ht="15.75">
      <c r="A202" s="6" t="s">
        <v>106</v>
      </c>
      <c r="B202" s="1" t="s">
        <v>74</v>
      </c>
      <c r="C202" s="1" t="s">
        <v>39</v>
      </c>
      <c r="D202" s="7">
        <f>E199/E2+E200/E2</f>
        <v>2.8402641015505394</v>
      </c>
      <c r="J202" s="19">
        <v>0.8928571428571429</v>
      </c>
    </row>
    <row r="203" spans="1:5" ht="78.75">
      <c r="A203" s="6" t="s">
        <v>107</v>
      </c>
      <c r="B203" s="1" t="s">
        <v>72</v>
      </c>
      <c r="C203" s="1" t="s">
        <v>33</v>
      </c>
      <c r="D203" s="7" t="s">
        <v>223</v>
      </c>
      <c r="E203" s="19">
        <v>415.3</v>
      </c>
    </row>
    <row r="204" spans="1:4" ht="15.75">
      <c r="A204" s="6" t="s">
        <v>108</v>
      </c>
      <c r="B204" s="1" t="s">
        <v>73</v>
      </c>
      <c r="C204" s="1" t="s">
        <v>33</v>
      </c>
      <c r="D204" s="7" t="s">
        <v>90</v>
      </c>
    </row>
    <row r="205" spans="1:4" ht="15.75">
      <c r="A205" s="6" t="s">
        <v>109</v>
      </c>
      <c r="B205" s="1" t="s">
        <v>30</v>
      </c>
      <c r="C205" s="1" t="s">
        <v>33</v>
      </c>
      <c r="D205" s="1" t="s">
        <v>2</v>
      </c>
    </row>
    <row r="206" spans="1:4" ht="15.75">
      <c r="A206" s="6" t="s">
        <v>110</v>
      </c>
      <c r="B206" s="1" t="s">
        <v>74</v>
      </c>
      <c r="C206" s="1" t="s">
        <v>39</v>
      </c>
      <c r="D206" s="7">
        <f>E203/E2</f>
        <v>0.02936740225421153</v>
      </c>
    </row>
    <row r="207" spans="1:12" ht="31.5">
      <c r="A207" s="6" t="s">
        <v>111</v>
      </c>
      <c r="B207" s="1" t="s">
        <v>72</v>
      </c>
      <c r="C207" s="1" t="s">
        <v>33</v>
      </c>
      <c r="D207" s="1" t="s">
        <v>221</v>
      </c>
      <c r="E207" s="19">
        <f>2443.7</f>
        <v>2443.7</v>
      </c>
      <c r="F207" s="19">
        <f>532188.66*J207</f>
        <v>475168.4464285715</v>
      </c>
      <c r="G207" s="12">
        <f>'[1]ук(2016)'!$DC$8</f>
        <v>436803.57863999996</v>
      </c>
      <c r="H207" s="19">
        <f>435.26+6458.64</f>
        <v>6893.900000000001</v>
      </c>
      <c r="I207" s="19">
        <v>6458.64</v>
      </c>
      <c r="J207" s="19">
        <v>0.8928571428571429</v>
      </c>
      <c r="K207" s="19">
        <f>0.432*100</f>
        <v>43.2</v>
      </c>
      <c r="L207" s="19" t="s">
        <v>230</v>
      </c>
    </row>
    <row r="208" spans="1:12" ht="15.75">
      <c r="A208" s="6" t="s">
        <v>112</v>
      </c>
      <c r="B208" s="1" t="s">
        <v>73</v>
      </c>
      <c r="C208" s="1" t="s">
        <v>33</v>
      </c>
      <c r="D208" s="1" t="s">
        <v>16</v>
      </c>
      <c r="J208" s="19">
        <v>0.8928571428571429</v>
      </c>
      <c r="K208" s="19">
        <f>0.96*100</f>
        <v>96</v>
      </c>
      <c r="L208" s="19" t="s">
        <v>231</v>
      </c>
    </row>
    <row r="209" spans="1:10" ht="15.75">
      <c r="A209" s="6" t="s">
        <v>113</v>
      </c>
      <c r="B209" s="1" t="s">
        <v>30</v>
      </c>
      <c r="C209" s="1" t="s">
        <v>33</v>
      </c>
      <c r="D209" s="1" t="s">
        <v>2</v>
      </c>
      <c r="J209" s="19">
        <v>0.8928571428571429</v>
      </c>
    </row>
    <row r="210" spans="1:10" ht="15.75">
      <c r="A210" s="6" t="s">
        <v>114</v>
      </c>
      <c r="B210" s="1" t="s">
        <v>74</v>
      </c>
      <c r="C210" s="1" t="s">
        <v>39</v>
      </c>
      <c r="D210" s="7">
        <f>E207/K207+E208/K208</f>
        <v>56.56712962962962</v>
      </c>
      <c r="J210" s="19">
        <v>0.8928571428571429</v>
      </c>
    </row>
    <row r="211" spans="1:5" ht="31.5">
      <c r="A211" s="6" t="s">
        <v>115</v>
      </c>
      <c r="B211" s="1" t="s">
        <v>72</v>
      </c>
      <c r="C211" s="1" t="s">
        <v>33</v>
      </c>
      <c r="D211" s="7" t="s">
        <v>220</v>
      </c>
      <c r="E211" s="19">
        <v>207.19</v>
      </c>
    </row>
    <row r="212" spans="1:4" ht="15.75">
      <c r="A212" s="6" t="s">
        <v>116</v>
      </c>
      <c r="B212" s="1" t="s">
        <v>73</v>
      </c>
      <c r="C212" s="1" t="s">
        <v>33</v>
      </c>
      <c r="D212" s="7" t="s">
        <v>90</v>
      </c>
    </row>
    <row r="213" spans="1:4" ht="15.75">
      <c r="A213" s="6" t="s">
        <v>117</v>
      </c>
      <c r="B213" s="1" t="s">
        <v>30</v>
      </c>
      <c r="C213" s="1" t="s">
        <v>33</v>
      </c>
      <c r="D213" s="1" t="s">
        <v>2</v>
      </c>
    </row>
    <row r="214" spans="1:4" ht="15.75">
      <c r="A214" s="6" t="s">
        <v>118</v>
      </c>
      <c r="B214" s="1" t="s">
        <v>74</v>
      </c>
      <c r="C214" s="1" t="s">
        <v>39</v>
      </c>
      <c r="D214" s="7">
        <f>E211/E2</f>
        <v>0.014651172822176949</v>
      </c>
    </row>
    <row r="215" spans="1:10" ht="47.25">
      <c r="A215" s="6" t="s">
        <v>119</v>
      </c>
      <c r="B215" s="1" t="s">
        <v>72</v>
      </c>
      <c r="C215" s="1" t="s">
        <v>33</v>
      </c>
      <c r="D215" s="1" t="s">
        <v>224</v>
      </c>
      <c r="E215" s="19">
        <f>16609.46</f>
        <v>16609.46</v>
      </c>
      <c r="F215" s="19">
        <f>20430.42*J215</f>
        <v>18241.446428571428</v>
      </c>
      <c r="H215" s="19">
        <f>547.3+1506.92+1467.53</f>
        <v>3521.75</v>
      </c>
      <c r="I215" s="19">
        <f>547.3+1506.92+1467.53</f>
        <v>3521.75</v>
      </c>
      <c r="J215" s="19">
        <v>0.8928571428571429</v>
      </c>
    </row>
    <row r="216" spans="1:10" ht="15.75">
      <c r="A216" s="6" t="s">
        <v>120</v>
      </c>
      <c r="B216" s="1" t="s">
        <v>73</v>
      </c>
      <c r="C216" s="1" t="s">
        <v>33</v>
      </c>
      <c r="D216" s="1" t="s">
        <v>16</v>
      </c>
      <c r="J216" s="19">
        <v>0.8928571428571429</v>
      </c>
    </row>
    <row r="217" spans="1:10" ht="15.75">
      <c r="A217" s="6" t="s">
        <v>121</v>
      </c>
      <c r="B217" s="1" t="s">
        <v>30</v>
      </c>
      <c r="C217" s="1" t="s">
        <v>33</v>
      </c>
      <c r="D217" s="1" t="s">
        <v>2</v>
      </c>
      <c r="J217" s="19">
        <v>0.8928571428571429</v>
      </c>
    </row>
    <row r="218" spans="1:10" ht="15.75">
      <c r="A218" s="6" t="s">
        <v>122</v>
      </c>
      <c r="B218" s="1" t="s">
        <v>74</v>
      </c>
      <c r="C218" s="1" t="s">
        <v>39</v>
      </c>
      <c r="D218" s="7">
        <f>E215/E2</f>
        <v>1.1745164773542889</v>
      </c>
      <c r="J218" s="19">
        <v>0.8928571428571429</v>
      </c>
    </row>
    <row r="219" spans="1:10" ht="31.5">
      <c r="A219" s="6" t="s">
        <v>123</v>
      </c>
      <c r="B219" s="1" t="s">
        <v>72</v>
      </c>
      <c r="C219" s="1" t="s">
        <v>33</v>
      </c>
      <c r="D219" s="1" t="s">
        <v>225</v>
      </c>
      <c r="E219" s="19">
        <v>0</v>
      </c>
      <c r="F219" s="19">
        <f>2570.71*J219</f>
        <v>2295.276785714286</v>
      </c>
      <c r="H219" s="19">
        <v>946.79</v>
      </c>
      <c r="I219" s="19">
        <f>946.79+2743.63+3762.32</f>
        <v>7452.74</v>
      </c>
      <c r="J219" s="19">
        <v>0.8928571428571429</v>
      </c>
    </row>
    <row r="220" spans="1:10" ht="15.75">
      <c r="A220" s="6" t="s">
        <v>124</v>
      </c>
      <c r="B220" s="1" t="s">
        <v>73</v>
      </c>
      <c r="C220" s="1" t="s">
        <v>33</v>
      </c>
      <c r="D220" s="1" t="s">
        <v>90</v>
      </c>
      <c r="J220" s="19">
        <v>0.8928571428571429</v>
      </c>
    </row>
    <row r="221" spans="1:10" ht="15.75">
      <c r="A221" s="6" t="s">
        <v>125</v>
      </c>
      <c r="B221" s="1" t="s">
        <v>30</v>
      </c>
      <c r="C221" s="1" t="s">
        <v>33</v>
      </c>
      <c r="D221" s="1" t="s">
        <v>2</v>
      </c>
      <c r="J221" s="19">
        <v>0.8928571428571429</v>
      </c>
    </row>
    <row r="222" spans="1:10" ht="15.75">
      <c r="A222" s="6" t="s">
        <v>126</v>
      </c>
      <c r="B222" s="1" t="s">
        <v>74</v>
      </c>
      <c r="C222" s="1" t="s">
        <v>39</v>
      </c>
      <c r="D222" s="7">
        <f>E219/E2</f>
        <v>0</v>
      </c>
      <c r="J222" s="19">
        <v>0.8928571428571429</v>
      </c>
    </row>
    <row r="223" spans="1:4" ht="15.75">
      <c r="A223" s="6"/>
      <c r="B223" s="3" t="s">
        <v>127</v>
      </c>
      <c r="C223" s="1" t="s">
        <v>39</v>
      </c>
      <c r="D223" s="9">
        <f>SUM(D28,D34,D60,D66,D100,D72,D82,D106,D112,D122,D168,D198)</f>
        <v>764673.3353234399</v>
      </c>
    </row>
    <row r="224" spans="1:4" ht="15.75">
      <c r="A224" s="22" t="s">
        <v>128</v>
      </c>
      <c r="B224" s="22"/>
      <c r="C224" s="22"/>
      <c r="D224" s="22"/>
    </row>
    <row r="225" spans="1:4" ht="15.75">
      <c r="A225" s="6" t="s">
        <v>129</v>
      </c>
      <c r="B225" s="1" t="s">
        <v>130</v>
      </c>
      <c r="C225" s="1" t="s">
        <v>131</v>
      </c>
      <c r="D225" s="28">
        <v>2</v>
      </c>
    </row>
    <row r="226" spans="1:4" ht="15.75">
      <c r="A226" s="6" t="s">
        <v>132</v>
      </c>
      <c r="B226" s="1" t="s">
        <v>133</v>
      </c>
      <c r="C226" s="1" t="s">
        <v>131</v>
      </c>
      <c r="D226" s="28">
        <v>2</v>
      </c>
    </row>
    <row r="227" spans="1:4" ht="15.75">
      <c r="A227" s="6" t="s">
        <v>134</v>
      </c>
      <c r="B227" s="1" t="s">
        <v>135</v>
      </c>
      <c r="C227" s="1" t="s">
        <v>131</v>
      </c>
      <c r="D227" s="28">
        <f>'[2]Управл 2017'!$AC$66</f>
        <v>0</v>
      </c>
    </row>
    <row r="228" spans="1:4" ht="15.75">
      <c r="A228" s="6" t="s">
        <v>136</v>
      </c>
      <c r="B228" s="1" t="s">
        <v>137</v>
      </c>
      <c r="C228" s="1" t="s">
        <v>39</v>
      </c>
      <c r="D228" s="13">
        <v>-3159.31</v>
      </c>
    </row>
    <row r="229" spans="1:4" ht="15.75">
      <c r="A229" s="22" t="s">
        <v>138</v>
      </c>
      <c r="B229" s="22"/>
      <c r="C229" s="22"/>
      <c r="D229" s="22"/>
    </row>
    <row r="230" spans="1:4" ht="15.75">
      <c r="A230" s="6" t="s">
        <v>139</v>
      </c>
      <c r="B230" s="1" t="s">
        <v>38</v>
      </c>
      <c r="C230" s="1" t="s">
        <v>39</v>
      </c>
      <c r="D230" s="1">
        <v>0</v>
      </c>
    </row>
    <row r="231" spans="1:4" ht="31.5">
      <c r="A231" s="6" t="s">
        <v>140</v>
      </c>
      <c r="B231" s="1" t="s">
        <v>40</v>
      </c>
      <c r="C231" s="1" t="s">
        <v>39</v>
      </c>
      <c r="D231" s="1">
        <v>0</v>
      </c>
    </row>
    <row r="232" spans="1:4" ht="15.75">
      <c r="A232" s="6" t="s">
        <v>141</v>
      </c>
      <c r="B232" s="1" t="s">
        <v>42</v>
      </c>
      <c r="C232" s="1" t="s">
        <v>39</v>
      </c>
      <c r="D232" s="1">
        <v>0</v>
      </c>
    </row>
    <row r="233" spans="1:4" ht="15.75">
      <c r="A233" s="6" t="s">
        <v>142</v>
      </c>
      <c r="B233" s="1" t="s">
        <v>65</v>
      </c>
      <c r="C233" s="1" t="s">
        <v>39</v>
      </c>
      <c r="D233" s="1">
        <v>0</v>
      </c>
    </row>
    <row r="234" spans="1:4" ht="15.75">
      <c r="A234" s="6" t="s">
        <v>143</v>
      </c>
      <c r="B234" s="1" t="s">
        <v>144</v>
      </c>
      <c r="C234" s="1" t="s">
        <v>39</v>
      </c>
      <c r="D234" s="1">
        <v>0</v>
      </c>
    </row>
    <row r="235" spans="1:4" ht="15.75">
      <c r="A235" s="6" t="s">
        <v>145</v>
      </c>
      <c r="B235" s="1" t="s">
        <v>67</v>
      </c>
      <c r="C235" s="1" t="s">
        <v>39</v>
      </c>
      <c r="D235" s="1">
        <v>0</v>
      </c>
    </row>
    <row r="236" spans="1:4" ht="15.75">
      <c r="A236" s="22" t="s">
        <v>146</v>
      </c>
      <c r="B236" s="22"/>
      <c r="C236" s="22"/>
      <c r="D236" s="22"/>
    </row>
    <row r="237" spans="1:4" ht="15.75">
      <c r="A237" s="6" t="s">
        <v>147</v>
      </c>
      <c r="B237" s="1" t="s">
        <v>130</v>
      </c>
      <c r="C237" s="1" t="s">
        <v>131</v>
      </c>
      <c r="D237" s="1">
        <v>0</v>
      </c>
    </row>
    <row r="238" spans="1:4" ht="15.75">
      <c r="A238" s="6" t="s">
        <v>148</v>
      </c>
      <c r="B238" s="1" t="s">
        <v>133</v>
      </c>
      <c r="C238" s="1" t="s">
        <v>131</v>
      </c>
      <c r="D238" s="1">
        <v>0</v>
      </c>
    </row>
    <row r="239" spans="1:4" ht="15.75">
      <c r="A239" s="6" t="s">
        <v>149</v>
      </c>
      <c r="B239" s="1" t="s">
        <v>150</v>
      </c>
      <c r="C239" s="1" t="s">
        <v>131</v>
      </c>
      <c r="D239" s="1">
        <v>0</v>
      </c>
    </row>
    <row r="240" spans="1:4" ht="15.75">
      <c r="A240" s="6" t="s">
        <v>151</v>
      </c>
      <c r="B240" s="1" t="s">
        <v>137</v>
      </c>
      <c r="C240" s="1" t="s">
        <v>39</v>
      </c>
      <c r="D240" s="1">
        <v>0</v>
      </c>
    </row>
    <row r="241" spans="1:4" ht="15.75">
      <c r="A241" s="22" t="s">
        <v>152</v>
      </c>
      <c r="B241" s="22"/>
      <c r="C241" s="22"/>
      <c r="D241" s="22"/>
    </row>
    <row r="242" spans="1:4" ht="15.75">
      <c r="A242" s="6" t="s">
        <v>153</v>
      </c>
      <c r="B242" s="1" t="s">
        <v>154</v>
      </c>
      <c r="C242" s="1" t="s">
        <v>131</v>
      </c>
      <c r="D242" s="1">
        <v>15</v>
      </c>
    </row>
    <row r="243" spans="1:4" ht="15.75">
      <c r="A243" s="6" t="s">
        <v>155</v>
      </c>
      <c r="B243" s="1" t="s">
        <v>156</v>
      </c>
      <c r="C243" s="1" t="s">
        <v>131</v>
      </c>
      <c r="D243" s="1">
        <v>0</v>
      </c>
    </row>
    <row r="244" spans="1:4" ht="31.5">
      <c r="A244" s="6" t="s">
        <v>157</v>
      </c>
      <c r="B244" s="1" t="s">
        <v>158</v>
      </c>
      <c r="C244" s="1" t="s">
        <v>39</v>
      </c>
      <c r="D244" s="1">
        <v>0</v>
      </c>
    </row>
  </sheetData>
  <sheetProtection password="CC29" sheet="1" objects="1" scenarios="1" selectLockedCells="1" selectUnlockedCells="1"/>
  <mergeCells count="8">
    <mergeCell ref="F113:F114"/>
    <mergeCell ref="A241:D241"/>
    <mergeCell ref="A2:D2"/>
    <mergeCell ref="A26:D26"/>
    <mergeCell ref="A8:D8"/>
    <mergeCell ref="A224:D224"/>
    <mergeCell ref="A229:D229"/>
    <mergeCell ref="A236:D236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34" r:id="rId1"/>
  <rowBreaks count="2" manualBreakCount="2">
    <brk id="104" max="8" man="1"/>
    <brk id="19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2018-04-02T23:23:01Z</cp:lastPrinted>
  <dcterms:created xsi:type="dcterms:W3CDTF">2010-07-19T21:32:50Z</dcterms:created>
  <dcterms:modified xsi:type="dcterms:W3CDTF">2021-03-18T08:28:58Z</dcterms:modified>
  <cp:category/>
  <cp:version/>
  <cp:contentType/>
  <cp:contentStatus/>
</cp:coreProperties>
</file>