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неправильно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'неправильно'!$A$1:$D$284</definedName>
    <definedName name="_xlnm.Print_Area" localSheetId="0">'по форме'!$A$1:$H$217</definedName>
  </definedNames>
  <calcPr fullCalcOnLoad="1"/>
</workbook>
</file>

<file path=xl/sharedStrings.xml><?xml version="1.0" encoding="utf-8"?>
<sst xmlns="http://schemas.openxmlformats.org/spreadsheetml/2006/main" count="1741" uniqueCount="560">
  <si>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</si>
  <si>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</si>
  <si>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</si>
  <si>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</si>
  <si>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</si>
  <si>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</si>
  <si>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</si>
  <si>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</si>
  <si>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</si>
  <si>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</si>
  <si>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</si>
  <si>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</si>
  <si>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</si>
  <si>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</si>
  <si>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</si>
  <si>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</si>
  <si>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</si>
  <si>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</si>
  <si>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</si>
  <si>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</si>
  <si>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</si>
  <si>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</si>
  <si>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</si>
  <si>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</si>
  <si>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</si>
  <si>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</si>
  <si>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</si>
  <si>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</si>
  <si>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</si>
  <si>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</si>
  <si>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</si>
  <si>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</si>
  <si>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</si>
  <si>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</si>
  <si>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</si>
  <si>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</si>
  <si>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</si>
  <si>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</si>
  <si>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</si>
  <si>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</si>
  <si>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</si>
  <si>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</si>
  <si>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</si>
  <si>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</si>
  <si>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</si>
  <si>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</si>
  <si>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</si>
  <si>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</si>
  <si>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</si>
  <si>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</si>
  <si>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</si>
  <si>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</si>
  <si>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</si>
  <si>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</si>
  <si>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</si>
  <si>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</si>
  <si>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</si>
  <si>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</si>
  <si>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</si>
  <si>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</si>
  <si>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</si>
  <si>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</si>
  <si>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</si>
  <si>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</si>
  <si>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</si>
  <si>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</si>
  <si>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</si>
  <si>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</si>
  <si>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</si>
  <si>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</si>
  <si>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</si>
  <si>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</si>
  <si>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</si>
  <si>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</si>
  <si>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</si>
  <si>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</si>
  <si>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</si>
  <si>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</si>
  <si>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</si>
  <si>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</si>
  <si>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</si>
  <si>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</si>
  <si>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</si>
  <si>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</si>
  <si>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</si>
  <si>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</si>
  <si>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</si>
  <si>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</si>
  <si>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</si>
  <si>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</si>
  <si>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</si>
  <si>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</si>
  <si>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</si>
  <si>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</si>
  <si>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</si>
  <si>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</si>
  <si>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</si>
  <si>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</si>
  <si>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</si>
  <si>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</si>
  <si>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</si>
  <si>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</si>
  <si>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</si>
  <si>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</si>
  <si>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</si>
  <si>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</si>
  <si>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</si>
  <si>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</si>
  <si>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</si>
  <si>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</si>
  <si>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</si>
  <si>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</si>
  <si>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</si>
  <si>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</si>
  <si>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</si>
  <si>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</si>
  <si>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</si>
  <si>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</si>
  <si>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</si>
  <si>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</si>
  <si>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</si>
  <si>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</si>
  <si>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</si>
  <si>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</si>
  <si>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</si>
  <si>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</si>
  <si>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</si>
  <si>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</si>
  <si>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</si>
  <si>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</si>
  <si>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</si>
  <si>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</si>
  <si>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</si>
  <si>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</si>
  <si>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</si>
  <si>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</si>
  <si>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</si>
  <si>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</si>
  <si>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</si>
  <si>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</si>
  <si>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</si>
  <si>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</si>
  <si>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</si>
  <si>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</si>
  <si>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</si>
  <si>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</si>
  <si>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</si>
  <si>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</si>
  <si>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</si>
  <si>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</si>
  <si>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</si>
  <si>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</si>
  <si>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</si>
  <si>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</si>
  <si>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</si>
  <si>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</si>
  <si>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</si>
  <si>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</si>
  <si>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</si>
  <si>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</si>
  <si>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</si>
  <si>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</si>
  <si>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</si>
  <si>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</si>
  <si>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</si>
  <si>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</si>
  <si>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</si>
  <si>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</si>
  <si>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</si>
  <si>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</si>
  <si>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</si>
  <si>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</si>
  <si>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</si>
  <si>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</si>
  <si>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</si>
  <si>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</si>
  <si>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</si>
  <si>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</si>
  <si>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</si>
  <si>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</si>
  <si>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</si>
  <si>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</si>
  <si>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</si>
  <si>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</si>
  <si>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</si>
  <si>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</si>
  <si>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</si>
  <si>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</si>
  <si>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</si>
  <si>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</si>
  <si>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</si>
  <si>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</si>
  <si>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</si>
  <si>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</si>
  <si>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</si>
  <si>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</si>
  <si>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</si>
  <si>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</si>
  <si>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</si>
  <si>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</si>
  <si>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</si>
  <si>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</si>
  <si>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</si>
  <si>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</si>
  <si>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</si>
  <si>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</si>
  <si>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</si>
  <si>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</si>
  <si>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</si>
  <si>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</si>
  <si>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</si>
  <si>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</si>
  <si>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</si>
  <si>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</si>
  <si>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</si>
  <si>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</si>
  <si>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</si>
  <si>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</si>
  <si>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</si>
  <si>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</si>
  <si>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</si>
  <si>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</si>
  <si>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</si>
  <si>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</si>
  <si>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</si>
  <si>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</si>
  <si>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</si>
  <si>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</si>
  <si>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</si>
  <si>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</si>
  <si>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</si>
  <si>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</si>
  <si>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</si>
  <si>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</si>
  <si>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</si>
  <si>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</si>
  <si>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</si>
  <si>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</si>
  <si>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</si>
  <si>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</si>
  <si>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</si>
  <si>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</si>
  <si>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</si>
  <si>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</si>
  <si>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</si>
  <si>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</si>
  <si>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</si>
  <si>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</si>
  <si>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</si>
  <si>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</si>
  <si>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</si>
  <si>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</si>
  <si>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</si>
  <si>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</si>
  <si>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</si>
  <si>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</si>
  <si>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</si>
  <si>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</si>
  <si>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</si>
  <si>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</si>
  <si>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</si>
  <si>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</si>
  <si>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</si>
  <si>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</si>
  <si>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</si>
  <si>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</si>
  <si>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</si>
  <si>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</si>
  <si>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</si>
  <si>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</si>
  <si>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</si>
  <si>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</si>
  <si>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</si>
  <si>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</si>
  <si>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</si>
  <si>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</si>
  <si>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</si>
  <si>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</si>
  <si>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</si>
  <si>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</si>
  <si>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</si>
  <si>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</si>
  <si>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</si>
  <si>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</si>
  <si>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</si>
  <si>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</si>
  <si>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</si>
  <si>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</si>
  <si>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</si>
  <si>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</si>
  <si>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</si>
  <si>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</si>
  <si>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</si>
  <si>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</si>
  <si>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</si>
  <si>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</si>
  <si>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</si>
  <si>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</si>
  <si>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</si>
  <si>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</si>
  <si>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</si>
  <si>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</si>
  <si>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</si>
  <si>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</si>
  <si>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</si>
  <si>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</si>
  <si>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</si>
  <si>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</si>
  <si>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</si>
  <si>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</si>
  <si>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</si>
  <si>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</si>
  <si>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</si>
  <si>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</si>
  <si>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</si>
  <si>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</si>
  <si>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</si>
  <si>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</si>
  <si>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</si>
  <si>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30.02.2016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</si>
  <si>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</si>
  <si>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</si>
  <si>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</si>
  <si>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</si>
  <si>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</si>
  <si>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</si>
  <si>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</si>
  <si>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</si>
  <si>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</si>
  <si>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</si>
  <si>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</si>
  <si>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</si>
  <si>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</si>
  <si>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</si>
  <si>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</si>
  <si>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</si>
  <si>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</si>
  <si>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</si>
  <si>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</si>
  <si>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</si>
  <si>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</si>
  <si>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</si>
  <si>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</si>
  <si>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</si>
  <si>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</si>
  <si>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</si>
  <si>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</si>
  <si>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</si>
  <si>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</si>
  <si>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</si>
  <si>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</si>
  <si>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</si>
  <si>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</si>
  <si>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</si>
  <si>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</si>
  <si>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</si>
  <si>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</si>
  <si>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</si>
  <si>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</si>
  <si>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</si>
  <si>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</si>
  <si>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</si>
  <si>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</si>
  <si>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</si>
  <si>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</si>
  <si>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</si>
  <si>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</si>
  <si>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</si>
  <si>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</si>
  <si>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</si>
  <si>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</si>
  <si>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</si>
  <si>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</si>
  <si>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</si>
  <si>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</si>
  <si>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</si>
  <si>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</si>
  <si>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</si>
  <si>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м3</t>
  </si>
  <si>
    <t>Отчет об исполнении управляющей организацией ООО "УК "Привокзальная" договора управления за период 10.10.2016 г.-31.12.2016 г.                                 по дому № 5/2  ул. Семашко в г. Липецке</t>
  </si>
  <si>
    <t>Влажное подметание лестничных площадок и маршей, коридоров выше 3-го этажа</t>
  </si>
  <si>
    <t>Влажное подметание лестничных площадок и маршей, коридоров, тамбура 1,2,3 этажа</t>
  </si>
  <si>
    <t>Сдвигание снега при снегопаде вручную</t>
  </si>
  <si>
    <t>Ремонт и обслуживание кол.приборов учёта горячей воды</t>
  </si>
  <si>
    <t>Обследование спец. организациями</t>
  </si>
  <si>
    <t>10.10.2016 г.</t>
  </si>
  <si>
    <t>Аварийное обслуживание</t>
  </si>
  <si>
    <t>Влажное подметание лестничных площадок и маршей, коридоры, тамбура 1,2,3 этажа</t>
  </si>
  <si>
    <t>Мытье полов (лестничные площадки и марши, коридоры, тамбура) 1,2,3 этажей</t>
  </si>
  <si>
    <t>Обметание пыли с потолков</t>
  </si>
  <si>
    <t>Мытье полов (лестничные площадки и марши, коридоры, тамбура) выше 3 этажа</t>
  </si>
  <si>
    <t>Содержание водоотвода (очистка от мусора, очистка от наледи)</t>
  </si>
  <si>
    <t>Техническое обслуживание внутридомового газового оборудования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</si>
  <si>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</si>
  <si>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</si>
  <si>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Дезинсекция</t>
  </si>
  <si>
    <t>Дератизация</t>
  </si>
  <si>
    <t>4 раза в год</t>
  </si>
  <si>
    <t>Сдвижка и подметание снега при отсутствии снегопада вручную</t>
  </si>
  <si>
    <t>10 раз в год</t>
  </si>
  <si>
    <t>Подметание вручную асфальтового покрытия</t>
  </si>
  <si>
    <t>Сдвижка снега при снегопаде вручную</t>
  </si>
  <si>
    <t>20 раз в год</t>
  </si>
  <si>
    <t>Уборка мусора на контейнерной площадке</t>
  </si>
  <si>
    <t>Уборка от случайного мусора грунта, газонов</t>
  </si>
  <si>
    <t>Механизированная уборка свежевыпавшего снега</t>
  </si>
  <si>
    <t>Уборка дворовой территории от листьев, сучьев, мусора</t>
  </si>
  <si>
    <t xml:space="preserve">Посыпка территории пескосоляной смесью </t>
  </si>
  <si>
    <t>25 раз в год</t>
  </si>
  <si>
    <t xml:space="preserve">Ликвидация наледи </t>
  </si>
  <si>
    <t>9 раз в год</t>
  </si>
  <si>
    <t xml:space="preserve">Покос травы </t>
  </si>
  <si>
    <t>Очистка металической решетки и приямка от грязи</t>
  </si>
  <si>
    <t>Масляная окраска металлического ограждения газонов из труб</t>
  </si>
  <si>
    <t>в течение года</t>
  </si>
  <si>
    <t>Объекты внешнего благоустройства: опиловка деревьев, кронирование деревьев, вырезка сухих ветвей деревьев,вырубка поросли,  погрузо- разгрузочные работы, перевозка</t>
  </si>
  <si>
    <t>Техническое обслуживание счетчиков потребления холодной воды (общедомовые)</t>
  </si>
  <si>
    <t>АБОНЕНСТКИЙ(ремонт и обслуживание коллективных приборов учета тэ</t>
  </si>
  <si>
    <t>Обслуживание и текущий ремонт СТЭ. Снятие показаний тепловой энергии.</t>
  </si>
  <si>
    <t>АБОНЕНСТКИЙ(ремонт и обслуживание коллективных приборов учета тэ + ремонт внутридомовых сетей горячего водоснабжения</t>
  </si>
  <si>
    <t>Замена осветительных лампочек помещений общего пользования</t>
  </si>
  <si>
    <t>Осмотр линий электрических сетей, арматуры и электрооборудования. Проверка состояния линий электрических сетей и арматуры, групповых щитов и переходных коробок, силовых установок на лестничных клетках.</t>
  </si>
  <si>
    <t>Прокладка провода</t>
  </si>
  <si>
    <t>Смена вентилей</t>
  </si>
  <si>
    <t>Ревизия задвижек</t>
  </si>
  <si>
    <t>Снятие показаний приборов учета потребления электроэнергии (общедомовые)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</si>
  <si>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Промывка системы отопления. Выполнение заявочного ремонта МОП.</t>
  </si>
  <si>
    <t>Замена разбитых стекол в окнах помещений общего пользования</t>
  </si>
  <si>
    <t>Осмотр технического состояния конструктивных  элементов многоквартирного жилого дома</t>
  </si>
  <si>
    <t>- за управление</t>
  </si>
  <si>
    <t>21.4</t>
  </si>
  <si>
    <t>22.4</t>
  </si>
  <si>
    <t>23.4</t>
  </si>
  <si>
    <t>24.4</t>
  </si>
  <si>
    <t>25.4</t>
  </si>
  <si>
    <t>26.4</t>
  </si>
  <si>
    <t>22.6.1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</si>
  <si>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</si>
  <si>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</si>
  <si>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</si>
  <si>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</si>
  <si>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</si>
  <si>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</si>
  <si>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</si>
  <si>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</si>
  <si>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22.7.1</t>
  </si>
  <si>
    <t>23.7.1</t>
  </si>
  <si>
    <t>24.7.1</t>
  </si>
  <si>
    <t>25.7.1</t>
  </si>
  <si>
    <t>26.7.1</t>
  </si>
  <si>
    <t>23.8.1</t>
  </si>
  <si>
    <t>23.7.2</t>
  </si>
  <si>
    <t>24.7.2</t>
  </si>
  <si>
    <t>25.7.2</t>
  </si>
  <si>
    <t>26.7.2</t>
  </si>
  <si>
    <t>23.7.3</t>
  </si>
  <si>
    <t>24.7.3</t>
  </si>
  <si>
    <t>25.7.3</t>
  </si>
  <si>
    <t>26.7.3</t>
  </si>
  <si>
    <t>23.7.4</t>
  </si>
  <si>
    <t>24.7.4</t>
  </si>
  <si>
    <t>25.7.4</t>
  </si>
  <si>
    <t>26.7.4</t>
  </si>
  <si>
    <t>23.7.6</t>
  </si>
  <si>
    <t>24.7.6</t>
  </si>
  <si>
    <t>25.7.6</t>
  </si>
  <si>
    <t>26.7.6</t>
  </si>
  <si>
    <t>23.7.7</t>
  </si>
  <si>
    <t>24.7.7</t>
  </si>
  <si>
    <t>25.7.7</t>
  </si>
  <si>
    <t>26.7.7</t>
  </si>
  <si>
    <t>23.7.8</t>
  </si>
  <si>
    <t>24.7.8</t>
  </si>
  <si>
    <t>25.7.8</t>
  </si>
  <si>
    <t>26.7.8</t>
  </si>
  <si>
    <t>23.7.9</t>
  </si>
  <si>
    <t>24.7.9</t>
  </si>
  <si>
    <t>25.7.9</t>
  </si>
  <si>
    <t>26.7.9</t>
  </si>
  <si>
    <t>23.7.10</t>
  </si>
  <si>
    <t>24.7.10</t>
  </si>
  <si>
    <t>25.7.10</t>
  </si>
  <si>
    <t>26.7.10</t>
  </si>
  <si>
    <t>23.7.11</t>
  </si>
  <si>
    <t>24.7.11</t>
  </si>
  <si>
    <t>25.7.11</t>
  </si>
  <si>
    <t>26.7.11</t>
  </si>
  <si>
    <t>23.7.12</t>
  </si>
  <si>
    <t>24.7.12</t>
  </si>
  <si>
    <t>25.7.12</t>
  </si>
  <si>
    <t>26.7.12</t>
  </si>
  <si>
    <t>23.7.13</t>
  </si>
  <si>
    <t>24.7.13</t>
  </si>
  <si>
    <t>25.7.13</t>
  </si>
  <si>
    <t>26.7.13</t>
  </si>
  <si>
    <t>23.7.14</t>
  </si>
  <si>
    <t>24.7.14</t>
  </si>
  <si>
    <t>25.7.14</t>
  </si>
  <si>
    <t>26.7.14</t>
  </si>
  <si>
    <t>21.8</t>
  </si>
  <si>
    <t>22.8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</si>
  <si>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</si>
  <si>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</si>
  <si>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</si>
  <si>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</si>
  <si>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</si>
  <si>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</si>
  <si>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</si>
  <si>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</si>
  <si>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</si>
  <si>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</si>
  <si>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</si>
  <si>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</si>
  <si>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</si>
  <si>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</si>
  <si>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</si>
  <si>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</si>
  <si>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</si>
  <si>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</si>
  <si>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</si>
  <si>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</si>
  <si>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</si>
  <si>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</si>
  <si>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</si>
  <si>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</si>
  <si>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</si>
  <si>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</si>
  <si>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</si>
  <si>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</si>
  <si>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</si>
  <si>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</si>
  <si>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</si>
  <si>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</si>
  <si>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</si>
  <si>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</si>
  <si>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</si>
  <si>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</si>
  <si>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</si>
  <si>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</si>
  <si>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</si>
  <si>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23.9.1</t>
  </si>
  <si>
    <t>24.9.2</t>
  </si>
  <si>
    <t>25.9.1</t>
  </si>
  <si>
    <t>24.9.1</t>
  </si>
  <si>
    <t>26.9.1</t>
  </si>
  <si>
    <t>23.9.2</t>
  </si>
  <si>
    <t>25.9.2</t>
  </si>
  <si>
    <t>26.9.2</t>
  </si>
  <si>
    <t xml:space="preserve">Ю.Д. Шкляров </t>
  </si>
  <si>
    <t xml:space="preserve">  итого</t>
  </si>
  <si>
    <t>получено</t>
  </si>
  <si>
    <t>Ремонт, смена внутридомовых сетей водоснабжения</t>
  </si>
  <si>
    <t>Влажная протирка (подоконников, перил лестниц, шкафов для электросчетчиков, слаботочных устройств, полотен дверей, почтовых ящиков)</t>
  </si>
  <si>
    <t>факт</t>
  </si>
  <si>
    <t>Площадь подвала 674,40</t>
  </si>
  <si>
    <t>Отчет  об  исполнении  управляющей  организацией   ООО   "УК "Слобода"   договора   управления    за период  2019 года  по дому № 5/2  ул. Семашко в г. Липецке</t>
  </si>
  <si>
    <t>31.03.2020 г.</t>
  </si>
  <si>
    <t>01.01.2019 г.</t>
  </si>
  <si>
    <t>31.12.2019 г.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</si>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</sst>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/>
    </xf>
    <xf numFmtId="49" fontId="3" fillId="15" borderId="12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Fill="1" applyAlignment="1">
      <alignment horizontal="right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%20&#1076;.%205-2%20&#1079;&#1072;%2029.04.2016-09.10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01.01.16-%2028.04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10.10.16-%2031.12.16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5-2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D16">
            <v>304690.88</v>
          </cell>
        </row>
        <row r="255">
          <cell r="D255">
            <v>269129.532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период январь-сентябрь"/>
    </sheetNames>
    <sheetDataSet>
      <sheetData sheetId="0">
        <row r="16">
          <cell r="D16">
            <v>219919.31</v>
          </cell>
        </row>
        <row r="255">
          <cell r="D255">
            <v>339037.7839999999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16">
          <cell r="D16">
            <v>198539.69</v>
          </cell>
        </row>
        <row r="201">
          <cell r="D201">
            <v>171099.04000000004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1">
          <cell r="U71">
            <v>51440.094</v>
          </cell>
          <cell r="AA71">
            <v>3</v>
          </cell>
          <cell r="AB71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O3">
            <v>4969.9</v>
          </cell>
        </row>
        <row r="37">
          <cell r="AO37">
            <v>0.071199</v>
          </cell>
        </row>
        <row r="41">
          <cell r="AO41">
            <v>0.110701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23">
          <cell r="D23">
            <v>842.88</v>
          </cell>
        </row>
        <row r="24">
          <cell r="D24">
            <v>18312.751218952006</v>
          </cell>
        </row>
        <row r="25">
          <cell r="D25">
            <v>217629.53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7">
        <row r="5">
          <cell r="K5">
            <v>0.024</v>
          </cell>
        </row>
        <row r="6">
          <cell r="K6">
            <v>0.029</v>
          </cell>
        </row>
        <row r="7">
          <cell r="K7">
            <v>0.14</v>
          </cell>
        </row>
        <row r="9">
          <cell r="K9">
            <v>0.067</v>
          </cell>
        </row>
        <row r="14">
          <cell r="K14">
            <v>2.722</v>
          </cell>
        </row>
        <row r="16">
          <cell r="K16">
            <v>0.15</v>
          </cell>
        </row>
        <row r="17">
          <cell r="K17">
            <v>0.014</v>
          </cell>
        </row>
        <row r="18">
          <cell r="K18">
            <v>0.019</v>
          </cell>
        </row>
        <row r="19">
          <cell r="K19">
            <v>0.01</v>
          </cell>
        </row>
        <row r="32">
          <cell r="K32">
            <v>0.747</v>
          </cell>
        </row>
        <row r="33">
          <cell r="K33">
            <v>0.244</v>
          </cell>
        </row>
        <row r="34">
          <cell r="K34">
            <v>0.01</v>
          </cell>
        </row>
        <row r="38">
          <cell r="K38">
            <v>0.03</v>
          </cell>
        </row>
        <row r="39">
          <cell r="K39">
            <v>0.263</v>
          </cell>
        </row>
        <row r="40">
          <cell r="K40">
            <v>0.016</v>
          </cell>
        </row>
        <row r="41">
          <cell r="K41">
            <v>0.071</v>
          </cell>
        </row>
        <row r="42">
          <cell r="K42">
            <v>0.082</v>
          </cell>
        </row>
        <row r="43">
          <cell r="K43">
            <v>0.452</v>
          </cell>
        </row>
        <row r="44">
          <cell r="K44">
            <v>0.103</v>
          </cell>
        </row>
        <row r="45">
          <cell r="K45">
            <v>0.695</v>
          </cell>
        </row>
        <row r="46">
          <cell r="K46">
            <v>0.188</v>
          </cell>
        </row>
        <row r="47">
          <cell r="K47">
            <v>0.042</v>
          </cell>
        </row>
        <row r="48">
          <cell r="K48">
            <v>0.044</v>
          </cell>
        </row>
        <row r="52">
          <cell r="K52">
            <v>0.929</v>
          </cell>
        </row>
        <row r="53">
          <cell r="K53">
            <v>0.019</v>
          </cell>
        </row>
        <row r="54">
          <cell r="K54">
            <v>0.006</v>
          </cell>
        </row>
        <row r="56">
          <cell r="K56">
            <v>1.912</v>
          </cell>
        </row>
        <row r="110">
          <cell r="K110">
            <v>248932.35119999995</v>
          </cell>
        </row>
        <row r="111">
          <cell r="K111">
            <v>264736.6331999999</v>
          </cell>
        </row>
        <row r="112">
          <cell r="K112">
            <v>84687.09599999999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49" customWidth="1"/>
    <col min="2" max="2" width="62.421875" style="43" customWidth="1"/>
    <col min="3" max="3" width="24.28125" style="43" customWidth="1"/>
    <col min="4" max="4" width="64.7109375" style="43" customWidth="1"/>
    <col min="5" max="5" width="18.7109375" style="43" hidden="1" customWidth="1"/>
    <col min="6" max="6" width="17.8515625" style="43" hidden="1" customWidth="1"/>
    <col min="7" max="7" width="18.7109375" style="43" hidden="1" customWidth="1"/>
    <col min="8" max="8" width="9.140625" style="43" hidden="1" customWidth="1"/>
    <col min="9" max="9" width="10.28125" style="43" hidden="1" customWidth="1"/>
    <col min="10" max="14" width="9.140625" style="43" hidden="1" customWidth="1"/>
    <col min="15" max="22" width="9.140625" style="43" customWidth="1"/>
    <col min="23" max="16384" width="9.140625" style="16" customWidth="1"/>
  </cols>
  <sheetData>
    <row r="1" spans="5:7" ht="15.75">
      <c r="E1" s="43" t="s">
        <v>321</v>
      </c>
      <c r="G1" s="43" t="s">
        <v>321</v>
      </c>
    </row>
    <row r="2" spans="1:22" s="29" customFormat="1" ht="33.75" customHeight="1">
      <c r="A2" s="50" t="s">
        <v>555</v>
      </c>
      <c r="B2" s="50"/>
      <c r="C2" s="50"/>
      <c r="D2" s="50"/>
      <c r="E2" s="28">
        <v>4969.9</v>
      </c>
      <c r="F2" s="28"/>
      <c r="G2" s="28">
        <v>4969.9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15.75">
      <c r="G3" s="43" t="s">
        <v>553</v>
      </c>
    </row>
    <row r="4" spans="1:4" ht="15.75">
      <c r="A4" s="30" t="s">
        <v>64</v>
      </c>
      <c r="B4" s="13" t="s">
        <v>65</v>
      </c>
      <c r="C4" s="13" t="s">
        <v>66</v>
      </c>
      <c r="D4" s="13" t="s">
        <v>67</v>
      </c>
    </row>
    <row r="5" spans="1:4" ht="15.75">
      <c r="A5" s="30" t="s">
        <v>70</v>
      </c>
      <c r="B5" s="13" t="s">
        <v>68</v>
      </c>
      <c r="C5" s="13" t="s">
        <v>69</v>
      </c>
      <c r="D5" s="13" t="s">
        <v>556</v>
      </c>
    </row>
    <row r="6" spans="1:4" ht="15.75">
      <c r="A6" s="30" t="s">
        <v>71</v>
      </c>
      <c r="B6" s="13" t="s">
        <v>72</v>
      </c>
      <c r="C6" s="13" t="s">
        <v>69</v>
      </c>
      <c r="D6" s="13" t="s">
        <v>557</v>
      </c>
    </row>
    <row r="7" spans="1:4" ht="15.75">
      <c r="A7" s="30" t="s">
        <v>58</v>
      </c>
      <c r="B7" s="13" t="s">
        <v>73</v>
      </c>
      <c r="C7" s="13" t="s">
        <v>69</v>
      </c>
      <c r="D7" s="13" t="s">
        <v>558</v>
      </c>
    </row>
    <row r="8" spans="1:7" ht="42.75" customHeight="1">
      <c r="A8" s="48" t="s">
        <v>105</v>
      </c>
      <c r="B8" s="48"/>
      <c r="C8" s="48"/>
      <c r="D8" s="48"/>
      <c r="E8" s="43" t="s">
        <v>549</v>
      </c>
      <c r="F8" s="43" t="s">
        <v>550</v>
      </c>
      <c r="G8" s="43" t="s">
        <v>549</v>
      </c>
    </row>
    <row r="9" spans="1:7" ht="15.75">
      <c r="A9" s="30" t="s">
        <v>59</v>
      </c>
      <c r="B9" s="13" t="s">
        <v>74</v>
      </c>
      <c r="C9" s="13" t="s">
        <v>75</v>
      </c>
      <c r="D9" s="31">
        <f>'[6]по форме'!$D$23</f>
        <v>842.88</v>
      </c>
      <c r="E9" s="51">
        <f>'[1]Лист1'!$D$255</f>
        <v>269129.532</v>
      </c>
      <c r="F9" s="43">
        <f>'[1]Лист1'!$D$16</f>
        <v>304690.88</v>
      </c>
      <c r="G9" s="51">
        <f>'[1]Лист1'!$D$255</f>
        <v>269129.532</v>
      </c>
    </row>
    <row r="10" spans="1:7" ht="31.5">
      <c r="A10" s="30" t="s">
        <v>60</v>
      </c>
      <c r="B10" s="13" t="s">
        <v>76</v>
      </c>
      <c r="C10" s="13" t="s">
        <v>75</v>
      </c>
      <c r="D10" s="31">
        <f>'[6]по форме'!$D$24</f>
        <v>18312.751218952006</v>
      </c>
      <c r="E10" s="51">
        <f>'[2]по форме'!$D$255</f>
        <v>339037.7839999999</v>
      </c>
      <c r="F10" s="51">
        <f>'[2]по форме'!$D$16</f>
        <v>219919.31</v>
      </c>
      <c r="G10" s="51">
        <f>'[2]по форме'!$D$255</f>
        <v>339037.7839999999</v>
      </c>
    </row>
    <row r="11" spans="1:7" ht="15.75">
      <c r="A11" s="30" t="s">
        <v>77</v>
      </c>
      <c r="B11" s="13" t="s">
        <v>78</v>
      </c>
      <c r="C11" s="13" t="s">
        <v>75</v>
      </c>
      <c r="D11" s="31">
        <f>'[6]по форме'!$D$25</f>
        <v>217629.53</v>
      </c>
      <c r="E11" s="51">
        <f>'[3]по форме'!$D$201</f>
        <v>171099.04000000004</v>
      </c>
      <c r="F11" s="43">
        <f>'[3]по форме'!$D$16</f>
        <v>198539.69</v>
      </c>
      <c r="G11" s="51">
        <f>'[3]по форме'!$D$201</f>
        <v>171099.04000000004</v>
      </c>
    </row>
    <row r="12" spans="1:7" ht="31.5">
      <c r="A12" s="30" t="s">
        <v>79</v>
      </c>
      <c r="B12" s="13" t="s">
        <v>80</v>
      </c>
      <c r="C12" s="13" t="s">
        <v>75</v>
      </c>
      <c r="D12" s="31">
        <f>D13+D14+D15</f>
        <v>598356.0803999999</v>
      </c>
      <c r="E12" s="51">
        <f>E9+E10+E11</f>
        <v>779266.3559999999</v>
      </c>
      <c r="F12" s="51">
        <f>F9+F10+F11</f>
        <v>723149.8799999999</v>
      </c>
      <c r="G12" s="51">
        <f>G9+G10+G11</f>
        <v>779266.3559999999</v>
      </c>
    </row>
    <row r="13" spans="1:4" ht="15.75">
      <c r="A13" s="30" t="s">
        <v>96</v>
      </c>
      <c r="B13" s="52" t="s">
        <v>81</v>
      </c>
      <c r="C13" s="13" t="s">
        <v>75</v>
      </c>
      <c r="D13" s="31">
        <f>'[7]Семашко 5,2(новый тариф)'!$K$111</f>
        <v>264736.6331999999</v>
      </c>
    </row>
    <row r="14" spans="1:4" ht="15.75">
      <c r="A14" s="30" t="s">
        <v>97</v>
      </c>
      <c r="B14" s="52" t="s">
        <v>82</v>
      </c>
      <c r="C14" s="13" t="s">
        <v>75</v>
      </c>
      <c r="D14" s="31">
        <f>'[7]Семашко 5,2(новый тариф)'!$K$110</f>
        <v>248932.35119999995</v>
      </c>
    </row>
    <row r="15" spans="1:4" ht="15.75">
      <c r="A15" s="30" t="s">
        <v>98</v>
      </c>
      <c r="B15" s="53" t="s">
        <v>429</v>
      </c>
      <c r="C15" s="13" t="s">
        <v>75</v>
      </c>
      <c r="D15" s="31">
        <f>'[7]Семашко 5,2(новый тариф)'!$K$112</f>
        <v>84687.09599999999</v>
      </c>
    </row>
    <row r="16" spans="1:5" ht="15.75">
      <c r="A16" s="52" t="s">
        <v>84</v>
      </c>
      <c r="B16" s="52" t="s">
        <v>85</v>
      </c>
      <c r="C16" s="52" t="s">
        <v>75</v>
      </c>
      <c r="D16" s="54">
        <f>D17</f>
        <v>467969.4003999998</v>
      </c>
      <c r="E16" s="43">
        <v>732329.25</v>
      </c>
    </row>
    <row r="17" spans="1:4" ht="31.5">
      <c r="A17" s="52" t="s">
        <v>61</v>
      </c>
      <c r="B17" s="52" t="s">
        <v>99</v>
      </c>
      <c r="C17" s="52" t="s">
        <v>75</v>
      </c>
      <c r="D17" s="54">
        <f>D12-D25+D196+D212</f>
        <v>467969.4003999998</v>
      </c>
    </row>
    <row r="18" spans="1:4" ht="31.5">
      <c r="A18" s="52" t="s">
        <v>86</v>
      </c>
      <c r="B18" s="52" t="s">
        <v>100</v>
      </c>
      <c r="C18" s="52" t="s">
        <v>75</v>
      </c>
      <c r="D18" s="54">
        <v>0</v>
      </c>
    </row>
    <row r="19" spans="1:4" ht="15.75">
      <c r="A19" s="52" t="s">
        <v>62</v>
      </c>
      <c r="B19" s="52" t="s">
        <v>87</v>
      </c>
      <c r="C19" s="52" t="s">
        <v>75</v>
      </c>
      <c r="D19" s="54">
        <v>0</v>
      </c>
    </row>
    <row r="20" spans="1:4" ht="15.75">
      <c r="A20" s="52" t="s">
        <v>63</v>
      </c>
      <c r="B20" s="52" t="s">
        <v>88</v>
      </c>
      <c r="C20" s="52" t="s">
        <v>75</v>
      </c>
      <c r="D20" s="54">
        <v>0</v>
      </c>
    </row>
    <row r="21" spans="1:4" ht="15.75">
      <c r="A21" s="52" t="s">
        <v>89</v>
      </c>
      <c r="B21" s="52" t="s">
        <v>90</v>
      </c>
      <c r="C21" s="52" t="s">
        <v>75</v>
      </c>
      <c r="D21" s="54">
        <v>0</v>
      </c>
    </row>
    <row r="22" spans="1:4" ht="15.75">
      <c r="A22" s="52" t="s">
        <v>91</v>
      </c>
      <c r="B22" s="52" t="s">
        <v>92</v>
      </c>
      <c r="C22" s="52" t="s">
        <v>75</v>
      </c>
      <c r="D22" s="54">
        <f>D16+D10+D9</f>
        <v>487125.0316189518</v>
      </c>
    </row>
    <row r="23" spans="1:4" ht="15.75">
      <c r="A23" s="52" t="s">
        <v>93</v>
      </c>
      <c r="B23" s="52" t="s">
        <v>101</v>
      </c>
      <c r="C23" s="52" t="s">
        <v>75</v>
      </c>
      <c r="D23" s="54">
        <v>1257.98</v>
      </c>
    </row>
    <row r="24" spans="1:4" ht="15.75">
      <c r="A24" s="52" t="s">
        <v>94</v>
      </c>
      <c r="B24" s="52" t="s">
        <v>102</v>
      </c>
      <c r="C24" s="52" t="s">
        <v>75</v>
      </c>
      <c r="D24" s="54">
        <f>D22-D191</f>
        <v>-33324.88450104807</v>
      </c>
    </row>
    <row r="25" spans="1:7" ht="15.75">
      <c r="A25" s="52" t="s">
        <v>95</v>
      </c>
      <c r="B25" s="52" t="s">
        <v>103</v>
      </c>
      <c r="C25" s="52" t="s">
        <v>75</v>
      </c>
      <c r="D25" s="54">
        <v>166588.29</v>
      </c>
      <c r="E25" s="51">
        <f>172090.54</f>
        <v>172090.54</v>
      </c>
      <c r="G25" s="51">
        <f>172090.54</f>
        <v>172090.54</v>
      </c>
    </row>
    <row r="26" spans="1:4" ht="35.25" customHeight="1">
      <c r="A26" s="48" t="s">
        <v>104</v>
      </c>
      <c r="B26" s="48"/>
      <c r="C26" s="48"/>
      <c r="D26" s="48"/>
    </row>
    <row r="27" spans="1:22" s="29" customFormat="1" ht="31.5">
      <c r="A27" s="44" t="s">
        <v>115</v>
      </c>
      <c r="B27" s="27" t="s">
        <v>106</v>
      </c>
      <c r="C27" s="27" t="s">
        <v>69</v>
      </c>
      <c r="D27" s="27" t="s">
        <v>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9" ht="15.75">
      <c r="A28" s="30" t="s">
        <v>111</v>
      </c>
      <c r="B28" s="13" t="s">
        <v>107</v>
      </c>
      <c r="C28" s="13" t="s">
        <v>75</v>
      </c>
      <c r="D28" s="32">
        <f>E28</f>
        <v>55404.445199999995</v>
      </c>
      <c r="E28" s="41">
        <f>F28</f>
        <v>55404.445199999995</v>
      </c>
      <c r="F28" s="43">
        <f>'[7]Семашко 5,2(новый тариф)'!$K$52*12*E2</f>
        <v>55404.445199999995</v>
      </c>
      <c r="G28" s="41">
        <f>'[4]Управл 2017'!$U$71</f>
        <v>51440.094</v>
      </c>
      <c r="I28" s="43">
        <f>0.929*12*E2</f>
        <v>55404.445199999995</v>
      </c>
    </row>
    <row r="29" spans="1:7" ht="31.5">
      <c r="A29" s="30" t="s">
        <v>112</v>
      </c>
      <c r="B29" s="13" t="s">
        <v>108</v>
      </c>
      <c r="C29" s="13" t="s">
        <v>69</v>
      </c>
      <c r="D29" s="13" t="s">
        <v>386</v>
      </c>
      <c r="E29" s="28"/>
      <c r="G29" s="28"/>
    </row>
    <row r="30" spans="1:7" ht="15.75">
      <c r="A30" s="30" t="s">
        <v>113</v>
      </c>
      <c r="B30" s="13" t="s">
        <v>109</v>
      </c>
      <c r="C30" s="13" t="s">
        <v>69</v>
      </c>
      <c r="D30" s="13" t="s">
        <v>11</v>
      </c>
      <c r="E30" s="28"/>
      <c r="G30" s="28"/>
    </row>
    <row r="31" spans="1:7" ht="15.75">
      <c r="A31" s="30" t="s">
        <v>114</v>
      </c>
      <c r="B31" s="13" t="s">
        <v>66</v>
      </c>
      <c r="C31" s="13" t="s">
        <v>69</v>
      </c>
      <c r="D31" s="13" t="s">
        <v>12</v>
      </c>
      <c r="E31" s="28"/>
      <c r="G31" s="28"/>
    </row>
    <row r="32" spans="1:7" ht="15.75">
      <c r="A32" s="30" t="s">
        <v>116</v>
      </c>
      <c r="B32" s="13" t="s">
        <v>110</v>
      </c>
      <c r="C32" s="13" t="s">
        <v>75</v>
      </c>
      <c r="D32" s="33">
        <f>E28/E2</f>
        <v>11.148</v>
      </c>
      <c r="E32" s="28"/>
      <c r="G32" s="28"/>
    </row>
    <row r="33" spans="1:22" s="29" customFormat="1" ht="31.5">
      <c r="A33" s="44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 t="s">
        <v>323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4" ht="15.75">
      <c r="A34" s="30" t="s">
        <v>118</v>
      </c>
      <c r="B34" s="13" t="s">
        <v>107</v>
      </c>
      <c r="C34" s="13" t="s">
        <v>75</v>
      </c>
      <c r="D34" s="31">
        <f>E35+E39+E43+E47+E51+E55+E59</f>
        <v>94148.13799999999</v>
      </c>
    </row>
    <row r="35" spans="1:7" ht="31.5">
      <c r="A35" s="30" t="s">
        <v>119</v>
      </c>
      <c r="B35" s="13" t="s">
        <v>108</v>
      </c>
      <c r="C35" s="13" t="s">
        <v>69</v>
      </c>
      <c r="D35" s="31" t="s">
        <v>380</v>
      </c>
      <c r="E35" s="43">
        <f>F35</f>
        <v>14551.867199999999</v>
      </c>
      <c r="F35" s="43">
        <f>'[7]Семашко 5,2(новый тариф)'!$K$33*12*E2</f>
        <v>14551.867199999999</v>
      </c>
      <c r="G35" s="43">
        <v>14400.29</v>
      </c>
    </row>
    <row r="36" spans="1:4" ht="15.75">
      <c r="A36" s="30" t="s">
        <v>120</v>
      </c>
      <c r="B36" s="13" t="s">
        <v>109</v>
      </c>
      <c r="C36" s="13" t="s">
        <v>69</v>
      </c>
      <c r="D36" s="31" t="s">
        <v>25</v>
      </c>
    </row>
    <row r="37" spans="1:4" ht="15.75">
      <c r="A37" s="30" t="s">
        <v>121</v>
      </c>
      <c r="B37" s="13" t="s">
        <v>66</v>
      </c>
      <c r="C37" s="13" t="s">
        <v>69</v>
      </c>
      <c r="D37" s="31" t="s">
        <v>12</v>
      </c>
    </row>
    <row r="38" spans="1:4" ht="15.75">
      <c r="A38" s="30" t="s">
        <v>122</v>
      </c>
      <c r="B38" s="13" t="s">
        <v>110</v>
      </c>
      <c r="C38" s="13" t="s">
        <v>75</v>
      </c>
      <c r="D38" s="31">
        <f>E35/E2</f>
        <v>2.928</v>
      </c>
    </row>
    <row r="39" spans="1:7" ht="31.5">
      <c r="A39" s="30" t="s">
        <v>123</v>
      </c>
      <c r="B39" s="13" t="s">
        <v>108</v>
      </c>
      <c r="C39" s="13" t="s">
        <v>69</v>
      </c>
      <c r="D39" s="31" t="s">
        <v>387</v>
      </c>
      <c r="E39" s="43">
        <f>F39</f>
        <v>44550.1836</v>
      </c>
      <c r="F39" s="43">
        <f>'[7]Семашко 5,2(новый тариф)'!$K$32*12*E2</f>
        <v>44550.1836</v>
      </c>
      <c r="G39" s="43">
        <v>44086.12</v>
      </c>
    </row>
    <row r="40" spans="1:4" ht="15.75">
      <c r="A40" s="30" t="s">
        <v>124</v>
      </c>
      <c r="B40" s="13" t="s">
        <v>109</v>
      </c>
      <c r="C40" s="13" t="s">
        <v>69</v>
      </c>
      <c r="D40" s="31" t="s">
        <v>25</v>
      </c>
    </row>
    <row r="41" spans="1:4" ht="15.75">
      <c r="A41" s="30" t="s">
        <v>125</v>
      </c>
      <c r="B41" s="13" t="s">
        <v>66</v>
      </c>
      <c r="C41" s="13" t="s">
        <v>69</v>
      </c>
      <c r="D41" s="31" t="s">
        <v>12</v>
      </c>
    </row>
    <row r="42" spans="1:4" ht="15.75">
      <c r="A42" s="30" t="s">
        <v>126</v>
      </c>
      <c r="B42" s="13" t="s">
        <v>110</v>
      </c>
      <c r="C42" s="13" t="s">
        <v>75</v>
      </c>
      <c r="D42" s="31">
        <f>E39/E2</f>
        <v>8.964</v>
      </c>
    </row>
    <row r="43" spans="1:7" ht="31.5">
      <c r="A43" s="30" t="s">
        <v>127</v>
      </c>
      <c r="B43" s="13" t="s">
        <v>108</v>
      </c>
      <c r="C43" s="13" t="s">
        <v>69</v>
      </c>
      <c r="D43" s="32" t="s">
        <v>388</v>
      </c>
      <c r="E43" s="43">
        <f>F43</f>
        <v>1133.1372</v>
      </c>
      <c r="F43" s="43">
        <f>'[7]Семашко 5,2(новый тариф)'!$K$53*12*E2</f>
        <v>1133.1372</v>
      </c>
      <c r="G43" s="43">
        <v>1123.2</v>
      </c>
    </row>
    <row r="44" spans="1:4" ht="15.75">
      <c r="A44" s="30" t="s">
        <v>128</v>
      </c>
      <c r="B44" s="13" t="s">
        <v>109</v>
      </c>
      <c r="C44" s="13" t="s">
        <v>69</v>
      </c>
      <c r="D44" s="32" t="s">
        <v>149</v>
      </c>
    </row>
    <row r="45" spans="1:4" ht="15.75">
      <c r="A45" s="30" t="s">
        <v>129</v>
      </c>
      <c r="B45" s="13" t="s">
        <v>66</v>
      </c>
      <c r="C45" s="13" t="s">
        <v>69</v>
      </c>
      <c r="D45" s="32" t="s">
        <v>12</v>
      </c>
    </row>
    <row r="46" spans="1:4" ht="15.75">
      <c r="A46" s="30" t="s">
        <v>130</v>
      </c>
      <c r="B46" s="13" t="s">
        <v>110</v>
      </c>
      <c r="C46" s="13" t="s">
        <v>75</v>
      </c>
      <c r="D46" s="32">
        <f>E43/E2</f>
        <v>0.228</v>
      </c>
    </row>
    <row r="47" spans="1:6" ht="31.5">
      <c r="A47" s="30" t="s">
        <v>337</v>
      </c>
      <c r="B47" s="13" t="s">
        <v>108</v>
      </c>
      <c r="C47" s="13" t="s">
        <v>69</v>
      </c>
      <c r="D47" s="32" t="s">
        <v>389</v>
      </c>
      <c r="E47" s="43">
        <v>626.21</v>
      </c>
      <c r="F47" s="43">
        <f>'[7]Семашко 5,2(новый тариф)'!$K$34*12*E2</f>
        <v>596.3879999999999</v>
      </c>
    </row>
    <row r="48" spans="1:4" ht="15.75">
      <c r="A48" s="30" t="s">
        <v>338</v>
      </c>
      <c r="B48" s="13" t="s">
        <v>109</v>
      </c>
      <c r="C48" s="13" t="s">
        <v>69</v>
      </c>
      <c r="D48" s="32" t="s">
        <v>149</v>
      </c>
    </row>
    <row r="49" spans="1:4" ht="15.75">
      <c r="A49" s="30" t="s">
        <v>339</v>
      </c>
      <c r="B49" s="13" t="s">
        <v>66</v>
      </c>
      <c r="C49" s="13" t="s">
        <v>69</v>
      </c>
      <c r="D49" s="32" t="s">
        <v>12</v>
      </c>
    </row>
    <row r="50" spans="1:4" ht="15.75">
      <c r="A50" s="30" t="s">
        <v>340</v>
      </c>
      <c r="B50" s="13" t="s">
        <v>110</v>
      </c>
      <c r="C50" s="13" t="s">
        <v>75</v>
      </c>
      <c r="D50" s="32">
        <f>E47/E2</f>
        <v>0.12600052314935917</v>
      </c>
    </row>
    <row r="51" spans="1:6" ht="31.5">
      <c r="A51" s="30" t="s">
        <v>341</v>
      </c>
      <c r="B51" s="13" t="s">
        <v>108</v>
      </c>
      <c r="C51" s="13" t="s">
        <v>69</v>
      </c>
      <c r="D51" s="32" t="s">
        <v>390</v>
      </c>
      <c r="E51" s="43">
        <v>392.62</v>
      </c>
      <c r="F51" s="43">
        <f>'[7]Семашко 5,2(новый тариф)'!$K$54*12*E2</f>
        <v>357.8328</v>
      </c>
    </row>
    <row r="52" spans="1:4" ht="15.75">
      <c r="A52" s="30" t="s">
        <v>342</v>
      </c>
      <c r="B52" s="13" t="s">
        <v>109</v>
      </c>
      <c r="C52" s="13" t="s">
        <v>69</v>
      </c>
      <c r="D52" s="32" t="s">
        <v>149</v>
      </c>
    </row>
    <row r="53" spans="1:4" ht="15.75">
      <c r="A53" s="30" t="s">
        <v>343</v>
      </c>
      <c r="B53" s="13" t="s">
        <v>66</v>
      </c>
      <c r="C53" s="13" t="s">
        <v>69</v>
      </c>
      <c r="D53" s="32" t="s">
        <v>12</v>
      </c>
    </row>
    <row r="54" spans="1:4" ht="15.75">
      <c r="A54" s="30" t="s">
        <v>344</v>
      </c>
      <c r="B54" s="13" t="s">
        <v>110</v>
      </c>
      <c r="C54" s="13" t="s">
        <v>75</v>
      </c>
      <c r="D54" s="32">
        <f>E51/E2</f>
        <v>0.07899957745628686</v>
      </c>
    </row>
    <row r="55" spans="1:6" ht="31.5">
      <c r="A55" s="30" t="s">
        <v>345</v>
      </c>
      <c r="B55" s="13" t="s">
        <v>108</v>
      </c>
      <c r="C55" s="13" t="s">
        <v>69</v>
      </c>
      <c r="D55" s="32" t="s">
        <v>391</v>
      </c>
      <c r="E55" s="43">
        <v>32506.47</v>
      </c>
      <c r="F55" s="43">
        <f>'[7]Семашко 5,2(новый тариф)'!$K$9*12*E2</f>
        <v>3995.7996</v>
      </c>
    </row>
    <row r="56" spans="1:4" ht="15.75">
      <c r="A56" s="30" t="s">
        <v>346</v>
      </c>
      <c r="B56" s="13" t="s">
        <v>109</v>
      </c>
      <c r="C56" s="13" t="s">
        <v>69</v>
      </c>
      <c r="D56" s="32" t="s">
        <v>28</v>
      </c>
    </row>
    <row r="57" spans="1:4" ht="15.75">
      <c r="A57" s="30" t="s">
        <v>347</v>
      </c>
      <c r="B57" s="13" t="s">
        <v>66</v>
      </c>
      <c r="C57" s="13" t="s">
        <v>69</v>
      </c>
      <c r="D57" s="32" t="s">
        <v>12</v>
      </c>
    </row>
    <row r="58" spans="1:4" ht="15.75">
      <c r="A58" s="30" t="s">
        <v>348</v>
      </c>
      <c r="B58" s="13" t="s">
        <v>110</v>
      </c>
      <c r="C58" s="13" t="s">
        <v>75</v>
      </c>
      <c r="D58" s="32">
        <f>E55/E2</f>
        <v>6.540668826334534</v>
      </c>
    </row>
    <row r="59" spans="1:7" ht="47.25">
      <c r="A59" s="30" t="s">
        <v>345</v>
      </c>
      <c r="B59" s="13" t="s">
        <v>108</v>
      </c>
      <c r="C59" s="13" t="s">
        <v>69</v>
      </c>
      <c r="D59" s="32" t="s">
        <v>552</v>
      </c>
      <c r="E59" s="43">
        <f>387.65</f>
        <v>387.65</v>
      </c>
      <c r="F59" s="43">
        <v>476.88</v>
      </c>
      <c r="G59" s="43">
        <v>0</v>
      </c>
    </row>
    <row r="60" spans="1:4" ht="15.75">
      <c r="A60" s="30" t="s">
        <v>346</v>
      </c>
      <c r="B60" s="13" t="s">
        <v>109</v>
      </c>
      <c r="C60" s="13" t="s">
        <v>69</v>
      </c>
      <c r="D60" s="32" t="s">
        <v>28</v>
      </c>
    </row>
    <row r="61" spans="1:4" ht="15.75">
      <c r="A61" s="30" t="s">
        <v>347</v>
      </c>
      <c r="B61" s="13" t="s">
        <v>66</v>
      </c>
      <c r="C61" s="13" t="s">
        <v>69</v>
      </c>
      <c r="D61" s="32" t="s">
        <v>12</v>
      </c>
    </row>
    <row r="62" spans="1:4" ht="15.75">
      <c r="A62" s="30" t="s">
        <v>348</v>
      </c>
      <c r="B62" s="13" t="s">
        <v>110</v>
      </c>
      <c r="C62" s="13" t="s">
        <v>75</v>
      </c>
      <c r="D62" s="32">
        <f>E59/E2</f>
        <v>0.07799955733515765</v>
      </c>
    </row>
    <row r="63" spans="1:9" ht="31.5">
      <c r="A63" s="44" t="s">
        <v>131</v>
      </c>
      <c r="B63" s="27" t="s">
        <v>106</v>
      </c>
      <c r="C63" s="27" t="s">
        <v>69</v>
      </c>
      <c r="D63" s="27" t="s">
        <v>56</v>
      </c>
      <c r="E63" s="28">
        <v>12486.94</v>
      </c>
      <c r="F63" s="43">
        <v>18183.27</v>
      </c>
      <c r="G63" s="28">
        <f>12618.51</f>
        <v>12618.51</v>
      </c>
      <c r="I63" s="43">
        <f>0.244*12*E2</f>
        <v>14551.867199999999</v>
      </c>
    </row>
    <row r="64" spans="1:7" ht="15.75">
      <c r="A64" s="30" t="s">
        <v>132</v>
      </c>
      <c r="B64" s="13" t="s">
        <v>107</v>
      </c>
      <c r="C64" s="13" t="s">
        <v>75</v>
      </c>
      <c r="D64" s="13">
        <f>E63</f>
        <v>12486.94</v>
      </c>
      <c r="E64" s="28"/>
      <c r="G64" s="28"/>
    </row>
    <row r="65" spans="1:7" ht="31.5">
      <c r="A65" s="30" t="s">
        <v>133</v>
      </c>
      <c r="B65" s="13" t="s">
        <v>108</v>
      </c>
      <c r="C65" s="13" t="s">
        <v>69</v>
      </c>
      <c r="D65" s="13" t="s">
        <v>392</v>
      </c>
      <c r="E65" s="28"/>
      <c r="G65" s="28"/>
    </row>
    <row r="66" spans="1:7" ht="15.75">
      <c r="A66" s="30" t="s">
        <v>134</v>
      </c>
      <c r="B66" s="13" t="s">
        <v>109</v>
      </c>
      <c r="C66" s="13" t="s">
        <v>69</v>
      </c>
      <c r="D66" s="13" t="s">
        <v>149</v>
      </c>
      <c r="E66" s="28"/>
      <c r="G66" s="28"/>
    </row>
    <row r="67" spans="1:7" ht="15.75">
      <c r="A67" s="30" t="s">
        <v>135</v>
      </c>
      <c r="B67" s="13" t="s">
        <v>66</v>
      </c>
      <c r="C67" s="13" t="s">
        <v>69</v>
      </c>
      <c r="D67" s="13" t="s">
        <v>12</v>
      </c>
      <c r="E67" s="28"/>
      <c r="G67" s="28"/>
    </row>
    <row r="68" spans="1:7" ht="15.75">
      <c r="A68" s="30" t="s">
        <v>136</v>
      </c>
      <c r="B68" s="13" t="s">
        <v>110</v>
      </c>
      <c r="C68" s="13" t="s">
        <v>75</v>
      </c>
      <c r="D68" s="33">
        <f>E63/E2</f>
        <v>2.512513330248094</v>
      </c>
      <c r="E68" s="28"/>
      <c r="G68" s="28"/>
    </row>
    <row r="69" spans="1:22" s="29" customFormat="1" ht="31.5">
      <c r="A69" s="44" t="s">
        <v>430</v>
      </c>
      <c r="B69" s="27" t="s">
        <v>106</v>
      </c>
      <c r="C69" s="27" t="s">
        <v>69</v>
      </c>
      <c r="D69" s="27" t="s">
        <v>57</v>
      </c>
      <c r="E69" s="43">
        <f>3044.82+1406.27</f>
        <v>4451.09</v>
      </c>
      <c r="F69" s="28"/>
      <c r="G69" s="43">
        <v>0</v>
      </c>
      <c r="H69" s="28"/>
      <c r="I69" s="28">
        <v>87</v>
      </c>
      <c r="J69" s="28">
        <f>0.037*12*E2</f>
        <v>2206.6355999999996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4" ht="15.75">
      <c r="A70" s="30" t="s">
        <v>431</v>
      </c>
      <c r="B70" s="13" t="s">
        <v>107</v>
      </c>
      <c r="C70" s="13" t="s">
        <v>75</v>
      </c>
      <c r="D70" s="13">
        <f>E69</f>
        <v>4451.09</v>
      </c>
    </row>
    <row r="71" spans="1:6" ht="31.5">
      <c r="A71" s="30" t="s">
        <v>432</v>
      </c>
      <c r="B71" s="13" t="s">
        <v>108</v>
      </c>
      <c r="C71" s="13" t="s">
        <v>69</v>
      </c>
      <c r="D71" s="13" t="s">
        <v>393</v>
      </c>
      <c r="F71" s="43">
        <v>2797.52</v>
      </c>
    </row>
    <row r="72" spans="1:4" ht="15.75">
      <c r="A72" s="30" t="s">
        <v>433</v>
      </c>
      <c r="B72" s="13" t="s">
        <v>109</v>
      </c>
      <c r="C72" s="13" t="s">
        <v>69</v>
      </c>
      <c r="D72" s="13" t="s">
        <v>394</v>
      </c>
    </row>
    <row r="73" spans="1:4" ht="15.75">
      <c r="A73" s="30" t="s">
        <v>434</v>
      </c>
      <c r="B73" s="13" t="s">
        <v>66</v>
      </c>
      <c r="C73" s="13" t="s">
        <v>69</v>
      </c>
      <c r="D73" s="13" t="s">
        <v>12</v>
      </c>
    </row>
    <row r="74" spans="1:4" ht="15.75">
      <c r="A74" s="30" t="s">
        <v>435</v>
      </c>
      <c r="B74" s="13" t="s">
        <v>110</v>
      </c>
      <c r="C74" s="13" t="s">
        <v>75</v>
      </c>
      <c r="D74" s="33">
        <f>E69/I69</f>
        <v>51.16195402298851</v>
      </c>
    </row>
    <row r="75" spans="1:22" s="29" customFormat="1" ht="47.25">
      <c r="A75" s="44" t="s">
        <v>137</v>
      </c>
      <c r="B75" s="27" t="s">
        <v>106</v>
      </c>
      <c r="C75" s="27" t="s">
        <v>69</v>
      </c>
      <c r="D75" s="27" t="s">
        <v>26</v>
      </c>
      <c r="E75" s="28"/>
      <c r="F75" s="13" t="s">
        <v>335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6" ht="15.75">
      <c r="A76" s="30" t="s">
        <v>436</v>
      </c>
      <c r="B76" s="13" t="s">
        <v>107</v>
      </c>
      <c r="C76" s="13" t="s">
        <v>75</v>
      </c>
      <c r="D76" s="13">
        <f>E77+E81</f>
        <v>1564.61</v>
      </c>
      <c r="F76" s="13">
        <v>0</v>
      </c>
    </row>
    <row r="77" spans="1:9" ht="47.25">
      <c r="A77" s="30" t="s">
        <v>437</v>
      </c>
      <c r="B77" s="13" t="s">
        <v>108</v>
      </c>
      <c r="C77" s="13" t="s">
        <v>69</v>
      </c>
      <c r="D77" s="13" t="s">
        <v>395</v>
      </c>
      <c r="E77" s="43">
        <v>1079.04</v>
      </c>
      <c r="F77" s="45">
        <v>2272.94</v>
      </c>
      <c r="G77" s="43">
        <f>741.84</f>
        <v>741.84</v>
      </c>
      <c r="I77" s="43" t="s">
        <v>554</v>
      </c>
    </row>
    <row r="78" spans="1:6" ht="15.75">
      <c r="A78" s="30" t="s">
        <v>438</v>
      </c>
      <c r="B78" s="13" t="s">
        <v>109</v>
      </c>
      <c r="C78" s="13" t="s">
        <v>69</v>
      </c>
      <c r="D78" s="13" t="s">
        <v>37</v>
      </c>
      <c r="F78" s="45"/>
    </row>
    <row r="79" spans="1:4" ht="15.75">
      <c r="A79" s="30" t="s">
        <v>439</v>
      </c>
      <c r="B79" s="13" t="s">
        <v>66</v>
      </c>
      <c r="C79" s="13" t="s">
        <v>69</v>
      </c>
      <c r="D79" s="13" t="s">
        <v>12</v>
      </c>
    </row>
    <row r="80" spans="1:6" ht="31.5">
      <c r="A80" s="30" t="s">
        <v>440</v>
      </c>
      <c r="B80" s="13" t="s">
        <v>110</v>
      </c>
      <c r="C80" s="13" t="s">
        <v>75</v>
      </c>
      <c r="D80" s="33">
        <f>E77/E2</f>
        <v>0.21711503249562367</v>
      </c>
      <c r="F80" s="13" t="s">
        <v>335</v>
      </c>
    </row>
    <row r="81" spans="1:9" ht="31.5">
      <c r="A81" s="30" t="s">
        <v>441</v>
      </c>
      <c r="B81" s="13" t="s">
        <v>108</v>
      </c>
      <c r="C81" s="13" t="s">
        <v>69</v>
      </c>
      <c r="D81" s="13" t="s">
        <v>396</v>
      </c>
      <c r="E81" s="43">
        <v>485.57</v>
      </c>
      <c r="F81" s="13">
        <v>524.52</v>
      </c>
      <c r="G81" s="43">
        <f>364.18</f>
        <v>364.18</v>
      </c>
      <c r="I81" s="43">
        <v>674.4</v>
      </c>
    </row>
    <row r="82" spans="1:4" ht="15.75">
      <c r="A82" s="30" t="s">
        <v>442</v>
      </c>
      <c r="B82" s="13" t="s">
        <v>109</v>
      </c>
      <c r="C82" s="13" t="s">
        <v>69</v>
      </c>
      <c r="D82" s="13" t="s">
        <v>397</v>
      </c>
    </row>
    <row r="83" spans="1:4" ht="15.75">
      <c r="A83" s="30" t="s">
        <v>443</v>
      </c>
      <c r="B83" s="13" t="s">
        <v>66</v>
      </c>
      <c r="C83" s="13" t="s">
        <v>69</v>
      </c>
      <c r="D83" s="13" t="s">
        <v>12</v>
      </c>
    </row>
    <row r="84" spans="1:4" ht="15.75">
      <c r="A84" s="30" t="s">
        <v>444</v>
      </c>
      <c r="B84" s="13" t="s">
        <v>110</v>
      </c>
      <c r="C84" s="13" t="s">
        <v>75</v>
      </c>
      <c r="D84" s="33">
        <f>E81/I81</f>
        <v>0.720002965599051</v>
      </c>
    </row>
    <row r="85" spans="1:22" s="29" customFormat="1" ht="63">
      <c r="A85" s="44" t="s">
        <v>143</v>
      </c>
      <c r="B85" s="27" t="s">
        <v>106</v>
      </c>
      <c r="C85" s="27" t="s">
        <v>69</v>
      </c>
      <c r="D85" s="27" t="s">
        <v>29</v>
      </c>
      <c r="E85" s="28"/>
      <c r="F85" s="4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4" ht="15.75">
      <c r="A86" s="30" t="s">
        <v>445</v>
      </c>
      <c r="B86" s="13" t="s">
        <v>107</v>
      </c>
      <c r="C86" s="13" t="s">
        <v>75</v>
      </c>
      <c r="D86" s="32">
        <f>E87+E91+E95+E99+E103+E107+E111+E115+E119+E123+E127+E131+E135</f>
        <v>126752.88799999998</v>
      </c>
    </row>
    <row r="87" spans="1:10" ht="31.5">
      <c r="A87" s="30" t="s">
        <v>446</v>
      </c>
      <c r="B87" s="13" t="s">
        <v>108</v>
      </c>
      <c r="C87" s="13" t="s">
        <v>69</v>
      </c>
      <c r="D87" s="13" t="s">
        <v>398</v>
      </c>
      <c r="E87" s="43">
        <v>6274</v>
      </c>
      <c r="F87" s="43">
        <f>'[7]Семашко 5,2(новый тариф)'!$K$38*12*E2</f>
        <v>1789.1639999999998</v>
      </c>
      <c r="I87" s="43">
        <f>0.03*12*E2</f>
        <v>1789.1639999999998</v>
      </c>
      <c r="J87" s="43">
        <f>1490.97</f>
        <v>1490.97</v>
      </c>
    </row>
    <row r="88" spans="1:4" ht="15.75">
      <c r="A88" s="30" t="s">
        <v>447</v>
      </c>
      <c r="B88" s="13" t="s">
        <v>109</v>
      </c>
      <c r="C88" s="13" t="s">
        <v>69</v>
      </c>
      <c r="D88" s="13" t="s">
        <v>399</v>
      </c>
    </row>
    <row r="89" spans="1:4" ht="15.75">
      <c r="A89" s="30" t="s">
        <v>448</v>
      </c>
      <c r="B89" s="13" t="s">
        <v>66</v>
      </c>
      <c r="C89" s="13" t="s">
        <v>69</v>
      </c>
      <c r="D89" s="13" t="s">
        <v>12</v>
      </c>
    </row>
    <row r="90" spans="1:4" ht="15.75">
      <c r="A90" s="30" t="s">
        <v>449</v>
      </c>
      <c r="B90" s="13" t="s">
        <v>110</v>
      </c>
      <c r="C90" s="13" t="s">
        <v>75</v>
      </c>
      <c r="D90" s="33">
        <f>E87/E2</f>
        <v>1.2623996458681261</v>
      </c>
    </row>
    <row r="91" spans="1:10" ht="31.5">
      <c r="A91" s="30" t="s">
        <v>451</v>
      </c>
      <c r="B91" s="13" t="s">
        <v>108</v>
      </c>
      <c r="C91" s="13" t="s">
        <v>69</v>
      </c>
      <c r="D91" s="13" t="s">
        <v>400</v>
      </c>
      <c r="E91" s="43">
        <f>F91</f>
        <v>6142.796399999999</v>
      </c>
      <c r="F91" s="43">
        <f>'[7]Семашко 5,2(новый тариф)'!$K$44*12*E2</f>
        <v>6142.796399999999</v>
      </c>
      <c r="G91" s="43">
        <v>5303.85</v>
      </c>
      <c r="I91" s="43">
        <f>0.103*12*E2</f>
        <v>6142.796399999999</v>
      </c>
      <c r="J91" s="43">
        <f>5153.94</f>
        <v>5153.94</v>
      </c>
    </row>
    <row r="92" spans="1:4" ht="15.75">
      <c r="A92" s="30" t="s">
        <v>452</v>
      </c>
      <c r="B92" s="13" t="s">
        <v>109</v>
      </c>
      <c r="C92" s="13" t="s">
        <v>69</v>
      </c>
      <c r="D92" s="13" t="s">
        <v>25</v>
      </c>
    </row>
    <row r="93" spans="1:4" ht="15.75">
      <c r="A93" s="30" t="s">
        <v>453</v>
      </c>
      <c r="B93" s="13" t="s">
        <v>66</v>
      </c>
      <c r="C93" s="13" t="s">
        <v>69</v>
      </c>
      <c r="D93" s="13" t="s">
        <v>12</v>
      </c>
    </row>
    <row r="94" spans="1:4" ht="15.75">
      <c r="A94" s="30" t="s">
        <v>454</v>
      </c>
      <c r="B94" s="13" t="s">
        <v>110</v>
      </c>
      <c r="C94" s="13" t="s">
        <v>75</v>
      </c>
      <c r="D94" s="33">
        <f>E91/E2</f>
        <v>1.236</v>
      </c>
    </row>
    <row r="95" spans="1:10" ht="31.5">
      <c r="A95" s="30" t="s">
        <v>455</v>
      </c>
      <c r="B95" s="13" t="s">
        <v>108</v>
      </c>
      <c r="C95" s="13" t="s">
        <v>69</v>
      </c>
      <c r="D95" s="13" t="s">
        <v>401</v>
      </c>
      <c r="E95" s="43">
        <f>F95</f>
        <v>15685.0044</v>
      </c>
      <c r="F95" s="43">
        <f>'[7]Семашко 5,2(новый тариф)'!$K$39*12*E2</f>
        <v>15685.0044</v>
      </c>
      <c r="G95" s="43">
        <v>6274</v>
      </c>
      <c r="I95" s="43">
        <f>0.263*12*E2</f>
        <v>15685.0044</v>
      </c>
      <c r="J95" s="43">
        <f>12548</f>
        <v>12548</v>
      </c>
    </row>
    <row r="96" spans="1:4" ht="15.75">
      <c r="A96" s="30" t="s">
        <v>456</v>
      </c>
      <c r="B96" s="13" t="s">
        <v>109</v>
      </c>
      <c r="C96" s="13" t="s">
        <v>69</v>
      </c>
      <c r="D96" s="13" t="s">
        <v>402</v>
      </c>
    </row>
    <row r="97" spans="1:4" ht="15.75">
      <c r="A97" s="30" t="s">
        <v>457</v>
      </c>
      <c r="B97" s="13" t="s">
        <v>66</v>
      </c>
      <c r="C97" s="13" t="s">
        <v>69</v>
      </c>
      <c r="D97" s="13" t="s">
        <v>12</v>
      </c>
    </row>
    <row r="98" spans="1:4" ht="15.75">
      <c r="A98" s="30" t="s">
        <v>458</v>
      </c>
      <c r="B98" s="13" t="s">
        <v>110</v>
      </c>
      <c r="C98" s="13" t="s">
        <v>75</v>
      </c>
      <c r="D98" s="33">
        <f>E95/E2</f>
        <v>3.156</v>
      </c>
    </row>
    <row r="99" spans="1:10" ht="31.5">
      <c r="A99" s="30" t="s">
        <v>459</v>
      </c>
      <c r="B99" s="13" t="s">
        <v>108</v>
      </c>
      <c r="C99" s="13" t="s">
        <v>69</v>
      </c>
      <c r="D99" s="13" t="s">
        <v>403</v>
      </c>
      <c r="E99" s="43">
        <f>F99</f>
        <v>6858.461999999999</v>
      </c>
      <c r="F99" s="43">
        <f>('[7]Семашко 5,2(новый тариф)'!$K$41+'[7]Семашко 5,2(новый тариф)'!$K$48)*12*E2</f>
        <v>6858.461999999999</v>
      </c>
      <c r="G99" s="43">
        <v>5914.46</v>
      </c>
      <c r="I99" s="43">
        <f>(0.071+0.044)*12*E2</f>
        <v>6858.461999999999</v>
      </c>
      <c r="J99" s="43">
        <f>6588.87</f>
        <v>6588.87</v>
      </c>
    </row>
    <row r="100" spans="1:4" ht="15.75">
      <c r="A100" s="30" t="s">
        <v>460</v>
      </c>
      <c r="B100" s="13" t="s">
        <v>109</v>
      </c>
      <c r="C100" s="13" t="s">
        <v>69</v>
      </c>
      <c r="D100" s="13" t="s">
        <v>17</v>
      </c>
    </row>
    <row r="101" spans="1:4" ht="15.75">
      <c r="A101" s="30" t="s">
        <v>461</v>
      </c>
      <c r="B101" s="13" t="s">
        <v>66</v>
      </c>
      <c r="C101" s="13" t="s">
        <v>69</v>
      </c>
      <c r="D101" s="13" t="s">
        <v>12</v>
      </c>
    </row>
    <row r="102" spans="1:4" ht="15.75">
      <c r="A102" s="30" t="s">
        <v>462</v>
      </c>
      <c r="B102" s="13" t="s">
        <v>110</v>
      </c>
      <c r="C102" s="13" t="s">
        <v>75</v>
      </c>
      <c r="D102" s="33">
        <f>E99/E2</f>
        <v>1.38</v>
      </c>
    </row>
    <row r="103" spans="1:10" ht="31.5">
      <c r="A103" s="30" t="s">
        <v>463</v>
      </c>
      <c r="B103" s="13" t="s">
        <v>108</v>
      </c>
      <c r="C103" s="13" t="s">
        <v>69</v>
      </c>
      <c r="D103" s="13" t="s">
        <v>404</v>
      </c>
      <c r="E103" s="43">
        <f>F103</f>
        <v>41448.96599999999</v>
      </c>
      <c r="F103" s="43">
        <f>'[7]Семашко 5,2(новый тариф)'!$K$45*12*E2</f>
        <v>41448.96599999999</v>
      </c>
      <c r="G103" s="43">
        <v>35788.11</v>
      </c>
      <c r="I103" s="43">
        <f>0.695*12*E2</f>
        <v>41448.96599999999</v>
      </c>
      <c r="J103" s="43">
        <f>35084.96</f>
        <v>35084.96</v>
      </c>
    </row>
    <row r="104" spans="1:4" ht="15.75">
      <c r="A104" s="30" t="s">
        <v>464</v>
      </c>
      <c r="B104" s="13" t="s">
        <v>109</v>
      </c>
      <c r="C104" s="13" t="s">
        <v>69</v>
      </c>
      <c r="D104" s="13" t="s">
        <v>25</v>
      </c>
    </row>
    <row r="105" spans="1:4" ht="15.75">
      <c r="A105" s="30" t="s">
        <v>465</v>
      </c>
      <c r="B105" s="13" t="s">
        <v>66</v>
      </c>
      <c r="C105" s="13" t="s">
        <v>69</v>
      </c>
      <c r="D105" s="13" t="s">
        <v>12</v>
      </c>
    </row>
    <row r="106" spans="1:4" ht="15.75">
      <c r="A106" s="30" t="s">
        <v>466</v>
      </c>
      <c r="B106" s="13" t="s">
        <v>110</v>
      </c>
      <c r="C106" s="13" t="s">
        <v>75</v>
      </c>
      <c r="D106" s="33">
        <f>E103/E2</f>
        <v>8.34</v>
      </c>
    </row>
    <row r="107" spans="1:9" ht="31.5">
      <c r="A107" s="30" t="s">
        <v>467</v>
      </c>
      <c r="B107" s="13" t="s">
        <v>108</v>
      </c>
      <c r="C107" s="13" t="s">
        <v>69</v>
      </c>
      <c r="D107" s="13" t="s">
        <v>405</v>
      </c>
      <c r="E107" s="42">
        <v>2487.66</v>
      </c>
      <c r="F107" s="43">
        <f>'[7]Семашко 5,2(новый тариф)'!$K$40*12*E2</f>
        <v>954.2207999999999</v>
      </c>
      <c r="I107" s="43">
        <f>0.016*12*E2</f>
        <v>954.2207999999999</v>
      </c>
    </row>
    <row r="108" spans="1:4" ht="15.75">
      <c r="A108" s="30" t="s">
        <v>468</v>
      </c>
      <c r="B108" s="13" t="s">
        <v>109</v>
      </c>
      <c r="C108" s="13" t="s">
        <v>69</v>
      </c>
      <c r="D108" s="13" t="s">
        <v>402</v>
      </c>
    </row>
    <row r="109" spans="1:4" ht="15.75">
      <c r="A109" s="30" t="s">
        <v>469</v>
      </c>
      <c r="B109" s="13" t="s">
        <v>66</v>
      </c>
      <c r="C109" s="13" t="s">
        <v>69</v>
      </c>
      <c r="D109" s="13" t="s">
        <v>12</v>
      </c>
    </row>
    <row r="110" spans="1:4" ht="15.75">
      <c r="A110" s="30" t="s">
        <v>470</v>
      </c>
      <c r="B110" s="13" t="s">
        <v>110</v>
      </c>
      <c r="C110" s="13" t="s">
        <v>75</v>
      </c>
      <c r="D110" s="33">
        <f>E107/E2</f>
        <v>0.5005452826012596</v>
      </c>
    </row>
    <row r="111" spans="1:9" ht="31.5">
      <c r="A111" s="30" t="s">
        <v>471</v>
      </c>
      <c r="B111" s="13" t="s">
        <v>108</v>
      </c>
      <c r="C111" s="13" t="s">
        <v>69</v>
      </c>
      <c r="D111" s="13" t="s">
        <v>406</v>
      </c>
      <c r="E111" s="43">
        <v>11212.09</v>
      </c>
      <c r="F111" s="43">
        <f>'[7]Семашко 5,2(новый тариф)'!$K$46*12*E2</f>
        <v>11212.0944</v>
      </c>
      <c r="I111" s="43">
        <f>0.188*12*E2</f>
        <v>11212.0944</v>
      </c>
    </row>
    <row r="112" spans="1:4" ht="15.75">
      <c r="A112" s="30" t="s">
        <v>472</v>
      </c>
      <c r="B112" s="13" t="s">
        <v>109</v>
      </c>
      <c r="C112" s="13" t="s">
        <v>69</v>
      </c>
      <c r="D112" s="13" t="s">
        <v>37</v>
      </c>
    </row>
    <row r="113" spans="1:4" ht="15.75">
      <c r="A113" s="30" t="s">
        <v>473</v>
      </c>
      <c r="B113" s="13" t="s">
        <v>66</v>
      </c>
      <c r="C113" s="13" t="s">
        <v>69</v>
      </c>
      <c r="D113" s="13" t="s">
        <v>12</v>
      </c>
    </row>
    <row r="114" spans="1:4" ht="15.75">
      <c r="A114" s="30" t="s">
        <v>474</v>
      </c>
      <c r="B114" s="13" t="s">
        <v>110</v>
      </c>
      <c r="C114" s="13" t="s">
        <v>75</v>
      </c>
      <c r="D114" s="33">
        <f>E111/E2+3.64</f>
        <v>5.895999114670316</v>
      </c>
    </row>
    <row r="115" spans="1:10" ht="31.5">
      <c r="A115" s="30" t="s">
        <v>475</v>
      </c>
      <c r="B115" s="13" t="s">
        <v>108</v>
      </c>
      <c r="C115" s="13" t="s">
        <v>69</v>
      </c>
      <c r="D115" s="13" t="s">
        <v>407</v>
      </c>
      <c r="E115" s="43">
        <f>F115</f>
        <v>26956.7376</v>
      </c>
      <c r="F115" s="43">
        <f>'[7]Семашко 5,2(новый тариф)'!$K$43*12*E2</f>
        <v>26956.7376</v>
      </c>
      <c r="G115" s="43">
        <v>16174.04</v>
      </c>
      <c r="I115" s="43">
        <f>0.452*12*E2</f>
        <v>26956.7376</v>
      </c>
      <c r="J115" s="43">
        <f>21565.39</f>
        <v>21565.39</v>
      </c>
    </row>
    <row r="116" spans="1:4" ht="15.75">
      <c r="A116" s="30" t="s">
        <v>476</v>
      </c>
      <c r="B116" s="13" t="s">
        <v>109</v>
      </c>
      <c r="C116" s="13" t="s">
        <v>69</v>
      </c>
      <c r="D116" s="13" t="s">
        <v>408</v>
      </c>
    </row>
    <row r="117" spans="1:4" ht="15.75">
      <c r="A117" s="30" t="s">
        <v>477</v>
      </c>
      <c r="B117" s="13" t="s">
        <v>66</v>
      </c>
      <c r="C117" s="13" t="s">
        <v>69</v>
      </c>
      <c r="D117" s="13" t="s">
        <v>12</v>
      </c>
    </row>
    <row r="118" spans="1:4" ht="15.75">
      <c r="A118" s="30" t="s">
        <v>478</v>
      </c>
      <c r="B118" s="13" t="s">
        <v>110</v>
      </c>
      <c r="C118" s="13" t="s">
        <v>75</v>
      </c>
      <c r="D118" s="33">
        <f>E115/E2</f>
        <v>5.424</v>
      </c>
    </row>
    <row r="119" spans="1:10" ht="31.5">
      <c r="A119" s="30" t="s">
        <v>479</v>
      </c>
      <c r="B119" s="13" t="s">
        <v>108</v>
      </c>
      <c r="C119" s="13" t="s">
        <v>69</v>
      </c>
      <c r="D119" s="13" t="s">
        <v>409</v>
      </c>
      <c r="E119" s="43">
        <f>F119</f>
        <v>4890.3816</v>
      </c>
      <c r="F119" s="43">
        <f>'[7]Семашко 5,2(новый тариф)'!$K$42*12*E2</f>
        <v>4890.3816</v>
      </c>
      <c r="G119" s="43">
        <v>2934.23</v>
      </c>
      <c r="I119" s="43">
        <f>0.082*12*E2</f>
        <v>4890.3816</v>
      </c>
      <c r="J119" s="43">
        <f>3912.31</f>
        <v>3912.31</v>
      </c>
    </row>
    <row r="120" spans="1:4" ht="15.75">
      <c r="A120" s="30" t="s">
        <v>480</v>
      </c>
      <c r="B120" s="13" t="s">
        <v>109</v>
      </c>
      <c r="C120" s="13" t="s">
        <v>69</v>
      </c>
      <c r="D120" s="13" t="s">
        <v>410</v>
      </c>
    </row>
    <row r="121" spans="1:4" ht="15.75">
      <c r="A121" s="30" t="s">
        <v>481</v>
      </c>
      <c r="B121" s="13" t="s">
        <v>66</v>
      </c>
      <c r="C121" s="13" t="s">
        <v>69</v>
      </c>
      <c r="D121" s="13" t="s">
        <v>12</v>
      </c>
    </row>
    <row r="122" spans="1:4" ht="15.75">
      <c r="A122" s="30" t="s">
        <v>482</v>
      </c>
      <c r="B122" s="13" t="s">
        <v>110</v>
      </c>
      <c r="C122" s="13" t="s">
        <v>75</v>
      </c>
      <c r="D122" s="33">
        <f>E119/E2</f>
        <v>0.984</v>
      </c>
    </row>
    <row r="123" spans="1:9" ht="31.5">
      <c r="A123" s="30" t="s">
        <v>483</v>
      </c>
      <c r="B123" s="13" t="s">
        <v>108</v>
      </c>
      <c r="C123" s="13" t="s">
        <v>69</v>
      </c>
      <c r="D123" s="13" t="s">
        <v>411</v>
      </c>
      <c r="E123" s="43">
        <v>2504.83</v>
      </c>
      <c r="F123" s="43">
        <f>'[7]Семашко 5,2(новый тариф)'!$K$47*12*E2</f>
        <v>2504.8296</v>
      </c>
      <c r="I123" s="43">
        <f>0.042*12*E2</f>
        <v>2504.8296</v>
      </c>
    </row>
    <row r="124" spans="1:4" ht="15.75">
      <c r="A124" s="30" t="s">
        <v>484</v>
      </c>
      <c r="B124" s="13" t="s">
        <v>109</v>
      </c>
      <c r="C124" s="13" t="s">
        <v>69</v>
      </c>
      <c r="D124" s="13" t="s">
        <v>37</v>
      </c>
    </row>
    <row r="125" spans="1:4" ht="15.75">
      <c r="A125" s="30" t="s">
        <v>485</v>
      </c>
      <c r="B125" s="13" t="s">
        <v>66</v>
      </c>
      <c r="C125" s="13" t="s">
        <v>69</v>
      </c>
      <c r="D125" s="13" t="s">
        <v>12</v>
      </c>
    </row>
    <row r="126" spans="1:4" ht="15.75">
      <c r="A126" s="30" t="s">
        <v>486</v>
      </c>
      <c r="B126" s="13" t="s">
        <v>110</v>
      </c>
      <c r="C126" s="13" t="s">
        <v>75</v>
      </c>
      <c r="D126" s="33">
        <f>E123/E2</f>
        <v>0.5040000804845168</v>
      </c>
    </row>
    <row r="127" spans="1:5" ht="31.5">
      <c r="A127" s="30" t="s">
        <v>487</v>
      </c>
      <c r="B127" s="13" t="s">
        <v>108</v>
      </c>
      <c r="C127" s="13" t="s">
        <v>69</v>
      </c>
      <c r="D127" s="33" t="s">
        <v>412</v>
      </c>
      <c r="E127" s="43">
        <v>0</v>
      </c>
    </row>
    <row r="128" spans="1:4" ht="15.75">
      <c r="A128" s="30" t="s">
        <v>488</v>
      </c>
      <c r="B128" s="13" t="s">
        <v>109</v>
      </c>
      <c r="C128" s="13" t="s">
        <v>69</v>
      </c>
      <c r="D128" s="33" t="s">
        <v>28</v>
      </c>
    </row>
    <row r="129" spans="1:4" ht="15.75">
      <c r="A129" s="30" t="s">
        <v>489</v>
      </c>
      <c r="B129" s="13" t="s">
        <v>66</v>
      </c>
      <c r="C129" s="13" t="s">
        <v>69</v>
      </c>
      <c r="D129" s="33" t="s">
        <v>12</v>
      </c>
    </row>
    <row r="130" spans="1:4" ht="15.75">
      <c r="A130" s="30" t="s">
        <v>490</v>
      </c>
      <c r="B130" s="13" t="s">
        <v>110</v>
      </c>
      <c r="C130" s="13" t="s">
        <v>75</v>
      </c>
      <c r="D130" s="33">
        <f>E127/E2</f>
        <v>0</v>
      </c>
    </row>
    <row r="131" spans="1:5" ht="31.5">
      <c r="A131" s="30" t="s">
        <v>491</v>
      </c>
      <c r="B131" s="13" t="s">
        <v>108</v>
      </c>
      <c r="C131" s="13" t="s">
        <v>69</v>
      </c>
      <c r="D131" s="33" t="s">
        <v>413</v>
      </c>
      <c r="E131" s="43">
        <v>0</v>
      </c>
    </row>
    <row r="132" spans="1:4" ht="15.75">
      <c r="A132" s="30" t="s">
        <v>492</v>
      </c>
      <c r="B132" s="13" t="s">
        <v>109</v>
      </c>
      <c r="C132" s="13" t="s">
        <v>69</v>
      </c>
      <c r="D132" s="33" t="s">
        <v>414</v>
      </c>
    </row>
    <row r="133" spans="1:4" ht="15.75">
      <c r="A133" s="30" t="s">
        <v>493</v>
      </c>
      <c r="B133" s="13" t="s">
        <v>66</v>
      </c>
      <c r="C133" s="13" t="s">
        <v>69</v>
      </c>
      <c r="D133" s="33" t="s">
        <v>12</v>
      </c>
    </row>
    <row r="134" spans="1:4" ht="15.75">
      <c r="A134" s="30" t="s">
        <v>494</v>
      </c>
      <c r="B134" s="13" t="s">
        <v>110</v>
      </c>
      <c r="C134" s="13" t="s">
        <v>75</v>
      </c>
      <c r="D134" s="33">
        <f>E131/E2</f>
        <v>0</v>
      </c>
    </row>
    <row r="135" spans="1:6" ht="63">
      <c r="A135" s="30" t="s">
        <v>495</v>
      </c>
      <c r="B135" s="13" t="s">
        <v>108</v>
      </c>
      <c r="C135" s="13" t="s">
        <v>69</v>
      </c>
      <c r="D135" s="13" t="s">
        <v>415</v>
      </c>
      <c r="E135" s="43">
        <f>462.8+1829.16</f>
        <v>2291.96</v>
      </c>
      <c r="F135" s="35">
        <f>'[7]Семашко 5,2(новый тариф)'!$K$56*12*E2</f>
        <v>114029.3856</v>
      </c>
    </row>
    <row r="136" spans="1:6" ht="15.75">
      <c r="A136" s="30" t="s">
        <v>496</v>
      </c>
      <c r="B136" s="13" t="s">
        <v>109</v>
      </c>
      <c r="C136" s="13" t="s">
        <v>69</v>
      </c>
      <c r="D136" s="13" t="s">
        <v>414</v>
      </c>
      <c r="F136" s="36"/>
    </row>
    <row r="137" spans="1:4" ht="15.75">
      <c r="A137" s="30" t="s">
        <v>497</v>
      </c>
      <c r="B137" s="13" t="s">
        <v>66</v>
      </c>
      <c r="C137" s="13" t="s">
        <v>69</v>
      </c>
      <c r="D137" s="13" t="s">
        <v>12</v>
      </c>
    </row>
    <row r="138" spans="1:4" ht="15.75">
      <c r="A138" s="30" t="s">
        <v>498</v>
      </c>
      <c r="B138" s="13" t="s">
        <v>110</v>
      </c>
      <c r="C138" s="13" t="s">
        <v>75</v>
      </c>
      <c r="D138" s="33">
        <f>E135/E2</f>
        <v>0.4611682327612226</v>
      </c>
    </row>
    <row r="139" spans="1:7" ht="47.25">
      <c r="A139" s="44" t="s">
        <v>499</v>
      </c>
      <c r="B139" s="27" t="s">
        <v>106</v>
      </c>
      <c r="C139" s="27" t="s">
        <v>69</v>
      </c>
      <c r="D139" s="27" t="s">
        <v>40</v>
      </c>
      <c r="E139" s="28"/>
      <c r="G139" s="28"/>
    </row>
    <row r="140" spans="1:7" ht="15.75">
      <c r="A140" s="30" t="s">
        <v>500</v>
      </c>
      <c r="B140" s="13" t="s">
        <v>107</v>
      </c>
      <c r="C140" s="13" t="s">
        <v>75</v>
      </c>
      <c r="D140" s="32">
        <f>E141+E145+E149+E153+E157+E161+E165+E169+E173+E177</f>
        <v>222618.63491999998</v>
      </c>
      <c r="E140" s="28"/>
      <c r="G140" s="28"/>
    </row>
    <row r="141" spans="1:17" ht="31.5" customHeight="1">
      <c r="A141" s="30" t="s">
        <v>450</v>
      </c>
      <c r="B141" s="13" t="s">
        <v>108</v>
      </c>
      <c r="C141" s="13" t="s">
        <v>69</v>
      </c>
      <c r="D141" s="13" t="s">
        <v>416</v>
      </c>
      <c r="E141" s="28">
        <f>0.119*12*E2</f>
        <v>7097.017199999999</v>
      </c>
      <c r="G141" s="39"/>
      <c r="H141" s="39"/>
      <c r="I141" s="39">
        <v>1</v>
      </c>
      <c r="J141" s="45" t="s">
        <v>417</v>
      </c>
      <c r="K141" s="45"/>
      <c r="L141" s="45"/>
      <c r="M141" s="45"/>
      <c r="N141" s="45"/>
      <c r="O141" s="45"/>
      <c r="P141" s="45"/>
      <c r="Q141" s="45"/>
    </row>
    <row r="142" spans="1:7" ht="15.75">
      <c r="A142" s="30" t="s">
        <v>501</v>
      </c>
      <c r="B142" s="13" t="s">
        <v>109</v>
      </c>
      <c r="C142" s="13" t="s">
        <v>69</v>
      </c>
      <c r="D142" s="13" t="s">
        <v>21</v>
      </c>
      <c r="E142" s="28"/>
      <c r="G142" s="28"/>
    </row>
    <row r="143" spans="1:4" ht="15.75">
      <c r="A143" s="30" t="s">
        <v>502</v>
      </c>
      <c r="B143" s="13" t="s">
        <v>66</v>
      </c>
      <c r="C143" s="13" t="s">
        <v>69</v>
      </c>
      <c r="D143" s="13" t="s">
        <v>22</v>
      </c>
    </row>
    <row r="144" spans="1:7" ht="15.75">
      <c r="A144" s="30" t="s">
        <v>503</v>
      </c>
      <c r="B144" s="13" t="s">
        <v>110</v>
      </c>
      <c r="C144" s="13" t="s">
        <v>75</v>
      </c>
      <c r="D144" s="33">
        <f>E141/I141</f>
        <v>7097.017199999999</v>
      </c>
      <c r="E144" s="28"/>
      <c r="G144" s="28"/>
    </row>
    <row r="145" spans="1:17" ht="30.75" customHeight="1">
      <c r="A145" s="30" t="s">
        <v>504</v>
      </c>
      <c r="B145" s="13" t="s">
        <v>108</v>
      </c>
      <c r="C145" s="13" t="s">
        <v>69</v>
      </c>
      <c r="D145" s="13" t="s">
        <v>418</v>
      </c>
      <c r="E145" s="41">
        <f>('[5]ук(2016)'!$AO$37+'[5]ук(2016)'!$AO$41)*12*'[5]ук(2016)'!$AO$3+8104.35</f>
        <v>18952.64772</v>
      </c>
      <c r="G145" s="28"/>
      <c r="H145" s="39"/>
      <c r="I145" s="40">
        <v>2</v>
      </c>
      <c r="J145" s="40" t="s">
        <v>419</v>
      </c>
      <c r="K145" s="39"/>
      <c r="L145" s="39"/>
      <c r="M145" s="39"/>
      <c r="N145" s="39"/>
      <c r="O145" s="39"/>
      <c r="P145" s="39"/>
      <c r="Q145" s="39"/>
    </row>
    <row r="146" spans="1:7" ht="15.75">
      <c r="A146" s="30" t="s">
        <v>505</v>
      </c>
      <c r="B146" s="13" t="s">
        <v>109</v>
      </c>
      <c r="C146" s="13" t="s">
        <v>69</v>
      </c>
      <c r="D146" s="13" t="s">
        <v>21</v>
      </c>
      <c r="E146" s="28"/>
      <c r="G146" s="28"/>
    </row>
    <row r="147" spans="1:7" ht="15.75">
      <c r="A147" s="30" t="s">
        <v>506</v>
      </c>
      <c r="B147" s="13" t="s">
        <v>66</v>
      </c>
      <c r="C147" s="13" t="s">
        <v>69</v>
      </c>
      <c r="D147" s="13" t="s">
        <v>22</v>
      </c>
      <c r="E147" s="28"/>
      <c r="G147" s="28"/>
    </row>
    <row r="148" spans="1:7" ht="15.75">
      <c r="A148" s="30" t="s">
        <v>507</v>
      </c>
      <c r="B148" s="13" t="s">
        <v>110</v>
      </c>
      <c r="C148" s="13" t="s">
        <v>75</v>
      </c>
      <c r="D148" s="33">
        <f>E145/I145</f>
        <v>9476.32386</v>
      </c>
      <c r="E148" s="28"/>
      <c r="G148" s="28"/>
    </row>
    <row r="149" spans="1:9" ht="31.5">
      <c r="A149" s="30" t="s">
        <v>508</v>
      </c>
      <c r="B149" s="13" t="s">
        <v>108</v>
      </c>
      <c r="C149" s="13" t="s">
        <v>69</v>
      </c>
      <c r="D149" s="13" t="s">
        <v>420</v>
      </c>
      <c r="E149" s="43">
        <v>4444.64</v>
      </c>
      <c r="F149" s="43">
        <f>'[7]Семашко 5,2(новый тариф)'!$K$18*12*E2</f>
        <v>1133.1372</v>
      </c>
      <c r="I149" s="43">
        <f>0.019*12*E2</f>
        <v>1133.1372</v>
      </c>
    </row>
    <row r="150" spans="1:4" ht="15.75">
      <c r="A150" s="30" t="s">
        <v>509</v>
      </c>
      <c r="B150" s="13" t="s">
        <v>109</v>
      </c>
      <c r="C150" s="13" t="s">
        <v>69</v>
      </c>
      <c r="D150" s="13" t="s">
        <v>27</v>
      </c>
    </row>
    <row r="151" spans="1:4" ht="15.75">
      <c r="A151" s="30" t="s">
        <v>510</v>
      </c>
      <c r="B151" s="13" t="s">
        <v>66</v>
      </c>
      <c r="C151" s="13" t="s">
        <v>69</v>
      </c>
      <c r="D151" s="13" t="s">
        <v>12</v>
      </c>
    </row>
    <row r="152" spans="1:4" ht="15.75">
      <c r="A152" s="30" t="s">
        <v>511</v>
      </c>
      <c r="B152" s="13" t="s">
        <v>110</v>
      </c>
      <c r="C152" s="13" t="s">
        <v>75</v>
      </c>
      <c r="D152" s="33">
        <f>E149/E2</f>
        <v>0.8943117567757903</v>
      </c>
    </row>
    <row r="153" spans="1:10" ht="78.75">
      <c r="A153" s="30" t="s">
        <v>512</v>
      </c>
      <c r="B153" s="13" t="s">
        <v>108</v>
      </c>
      <c r="C153" s="13" t="s">
        <v>69</v>
      </c>
      <c r="D153" s="13" t="s">
        <v>421</v>
      </c>
      <c r="E153" s="43">
        <f>F153</f>
        <v>8945.819999999998</v>
      </c>
      <c r="F153" s="39">
        <f>'[7]Семашко 5,2(новый тариф)'!$K$16*12*E2</f>
        <v>8945.819999999998</v>
      </c>
      <c r="G153" s="43">
        <f>6018.66+688.97</f>
        <v>6707.63</v>
      </c>
      <c r="I153" s="43">
        <f>0.15*12*E2</f>
        <v>8945.819999999998</v>
      </c>
      <c r="J153" s="43">
        <f>5898.93</f>
        <v>5898.93</v>
      </c>
    </row>
    <row r="154" spans="1:4" ht="15.75">
      <c r="A154" s="30" t="s">
        <v>513</v>
      </c>
      <c r="B154" s="13" t="s">
        <v>109</v>
      </c>
      <c r="C154" s="13" t="s">
        <v>69</v>
      </c>
      <c r="D154" s="13" t="s">
        <v>27</v>
      </c>
    </row>
    <row r="155" spans="1:4" ht="15.75">
      <c r="A155" s="30" t="s">
        <v>514</v>
      </c>
      <c r="B155" s="13" t="s">
        <v>66</v>
      </c>
      <c r="C155" s="13" t="s">
        <v>69</v>
      </c>
      <c r="D155" s="13" t="s">
        <v>21</v>
      </c>
    </row>
    <row r="156" spans="1:4" ht="15.75">
      <c r="A156" s="30" t="s">
        <v>515</v>
      </c>
      <c r="B156" s="13" t="s">
        <v>110</v>
      </c>
      <c r="C156" s="13" t="s">
        <v>75</v>
      </c>
      <c r="D156" s="33">
        <f>E153/E2</f>
        <v>1.7999999999999996</v>
      </c>
    </row>
    <row r="157" spans="1:9" ht="31.5">
      <c r="A157" s="30" t="s">
        <v>516</v>
      </c>
      <c r="B157" s="13" t="s">
        <v>108</v>
      </c>
      <c r="C157" s="13" t="s">
        <v>69</v>
      </c>
      <c r="D157" s="13" t="s">
        <v>422</v>
      </c>
      <c r="E157" s="43">
        <f>F157</f>
        <v>596.3879999999999</v>
      </c>
      <c r="F157" s="43">
        <f>'[7]Семашко 5,2(новый тариф)'!$K$19*12*E2</f>
        <v>596.3879999999999</v>
      </c>
      <c r="G157" s="43">
        <v>0</v>
      </c>
      <c r="I157" s="43">
        <f>0.01*12*E2</f>
        <v>596.3879999999999</v>
      </c>
    </row>
    <row r="158" spans="1:4" ht="15.75">
      <c r="A158" s="30" t="s">
        <v>517</v>
      </c>
      <c r="B158" s="13" t="s">
        <v>109</v>
      </c>
      <c r="C158" s="13" t="s">
        <v>69</v>
      </c>
      <c r="D158" s="13" t="s">
        <v>414</v>
      </c>
    </row>
    <row r="159" spans="1:4" ht="15.75">
      <c r="A159" s="30" t="s">
        <v>518</v>
      </c>
      <c r="B159" s="13" t="s">
        <v>66</v>
      </c>
      <c r="C159" s="13" t="s">
        <v>69</v>
      </c>
      <c r="D159" s="13" t="s">
        <v>12</v>
      </c>
    </row>
    <row r="160" spans="1:4" ht="15.75">
      <c r="A160" s="30" t="s">
        <v>519</v>
      </c>
      <c r="B160" s="13" t="s">
        <v>110</v>
      </c>
      <c r="C160" s="13" t="s">
        <v>75</v>
      </c>
      <c r="D160" s="33">
        <f>E157/E2</f>
        <v>0.12</v>
      </c>
    </row>
    <row r="161" spans="1:9" ht="31.5">
      <c r="A161" s="30" t="s">
        <v>520</v>
      </c>
      <c r="B161" s="13" t="s">
        <v>108</v>
      </c>
      <c r="C161" s="13" t="s">
        <v>69</v>
      </c>
      <c r="D161" s="13" t="s">
        <v>551</v>
      </c>
      <c r="E161" s="43">
        <f>(13498.79+4182.05)-E169</f>
        <v>9331.408</v>
      </c>
      <c r="F161" s="43">
        <f>'[7]Семашко 5,2(новый тариф)'!$K$5*12*E2</f>
        <v>1431.3312</v>
      </c>
      <c r="I161" s="43">
        <f>0.024*12*E2</f>
        <v>1431.3312</v>
      </c>
    </row>
    <row r="162" spans="1:4" ht="15.75">
      <c r="A162" s="30" t="s">
        <v>521</v>
      </c>
      <c r="B162" s="13" t="s">
        <v>109</v>
      </c>
      <c r="C162" s="13" t="s">
        <v>69</v>
      </c>
      <c r="D162" s="13" t="s">
        <v>414</v>
      </c>
    </row>
    <row r="163" spans="1:4" ht="15.75">
      <c r="A163" s="30" t="s">
        <v>522</v>
      </c>
      <c r="B163" s="13" t="s">
        <v>66</v>
      </c>
      <c r="C163" s="13" t="s">
        <v>69</v>
      </c>
      <c r="D163" s="13" t="s">
        <v>12</v>
      </c>
    </row>
    <row r="164" spans="1:4" ht="15.75">
      <c r="A164" s="30" t="s">
        <v>523</v>
      </c>
      <c r="B164" s="13" t="s">
        <v>110</v>
      </c>
      <c r="C164" s="13" t="s">
        <v>75</v>
      </c>
      <c r="D164" s="33">
        <f>E161/E2</f>
        <v>1.8775846596510997</v>
      </c>
    </row>
    <row r="165" spans="1:9" ht="31.5">
      <c r="A165" s="30" t="s">
        <v>524</v>
      </c>
      <c r="B165" s="13" t="s">
        <v>108</v>
      </c>
      <c r="C165" s="13" t="s">
        <v>69</v>
      </c>
      <c r="D165" s="13" t="s">
        <v>423</v>
      </c>
      <c r="E165" s="43">
        <f>F165</f>
        <v>1729.5252</v>
      </c>
      <c r="F165" s="43">
        <f>'[7]Семашко 5,2(новый тариф)'!$K$6*12*E2</f>
        <v>1729.5252</v>
      </c>
      <c r="G165" s="43">
        <v>0</v>
      </c>
      <c r="I165" s="43">
        <f>0.029*12*E2</f>
        <v>1729.5252</v>
      </c>
    </row>
    <row r="166" spans="1:4" ht="15.75">
      <c r="A166" s="30" t="s">
        <v>525</v>
      </c>
      <c r="B166" s="13" t="s">
        <v>109</v>
      </c>
      <c r="C166" s="13" t="s">
        <v>69</v>
      </c>
      <c r="D166" s="13" t="s">
        <v>414</v>
      </c>
    </row>
    <row r="167" spans="1:4" ht="15.75">
      <c r="A167" s="30" t="s">
        <v>526</v>
      </c>
      <c r="B167" s="13" t="s">
        <v>66</v>
      </c>
      <c r="C167" s="13" t="s">
        <v>69</v>
      </c>
      <c r="D167" s="13" t="s">
        <v>12</v>
      </c>
    </row>
    <row r="168" spans="1:4" ht="15.75">
      <c r="A168" s="30" t="s">
        <v>527</v>
      </c>
      <c r="B168" s="13" t="s">
        <v>110</v>
      </c>
      <c r="C168" s="13" t="s">
        <v>75</v>
      </c>
      <c r="D168" s="33">
        <f>E165/E2</f>
        <v>0.34800000000000003</v>
      </c>
    </row>
    <row r="169" spans="1:10" ht="31.5">
      <c r="A169" s="30" t="s">
        <v>528</v>
      </c>
      <c r="B169" s="13" t="s">
        <v>108</v>
      </c>
      <c r="C169" s="13" t="s">
        <v>69</v>
      </c>
      <c r="D169" s="13" t="s">
        <v>424</v>
      </c>
      <c r="E169" s="43">
        <f>F169</f>
        <v>8349.432</v>
      </c>
      <c r="F169" s="43">
        <f>'[7]Семашко 5,2(новый тариф)'!$K$7*12*E2</f>
        <v>8349.432</v>
      </c>
      <c r="G169" s="43">
        <f>136.26+136.26</f>
        <v>272.52</v>
      </c>
      <c r="I169" s="43">
        <f>0.14*12*E2</f>
        <v>8349.432</v>
      </c>
      <c r="J169" s="43">
        <v>272.51</v>
      </c>
    </row>
    <row r="170" spans="1:4" ht="15.75">
      <c r="A170" s="30" t="s">
        <v>529</v>
      </c>
      <c r="B170" s="13" t="s">
        <v>109</v>
      </c>
      <c r="C170" s="13" t="s">
        <v>69</v>
      </c>
      <c r="D170" s="13" t="s">
        <v>414</v>
      </c>
    </row>
    <row r="171" spans="1:4" ht="15.75">
      <c r="A171" s="30" t="s">
        <v>530</v>
      </c>
      <c r="B171" s="13" t="s">
        <v>66</v>
      </c>
      <c r="C171" s="13" t="s">
        <v>69</v>
      </c>
      <c r="D171" s="13" t="s">
        <v>12</v>
      </c>
    </row>
    <row r="172" spans="1:4" ht="15.75">
      <c r="A172" s="30" t="s">
        <v>531</v>
      </c>
      <c r="B172" s="13" t="s">
        <v>110</v>
      </c>
      <c r="C172" s="13" t="s">
        <v>75</v>
      </c>
      <c r="D172" s="33">
        <f>E169/E2</f>
        <v>1.6800000000000002</v>
      </c>
    </row>
    <row r="173" spans="1:10" ht="31.5">
      <c r="A173" s="30" t="s">
        <v>532</v>
      </c>
      <c r="B173" s="13" t="s">
        <v>108</v>
      </c>
      <c r="C173" s="13" t="s">
        <v>69</v>
      </c>
      <c r="D173" s="13" t="s">
        <v>425</v>
      </c>
      <c r="E173" s="43">
        <f>F173</f>
        <v>834.9432</v>
      </c>
      <c r="F173" s="43">
        <f>'[7]Семашко 5,2(новый тариф)'!$K$17*12*E2</f>
        <v>834.9432</v>
      </c>
      <c r="G173" s="43">
        <f>204.68</f>
        <v>204.68</v>
      </c>
      <c r="I173" s="43">
        <f>0.014*12*E2</f>
        <v>834.9432</v>
      </c>
      <c r="J173" s="43">
        <v>204.67</v>
      </c>
    </row>
    <row r="174" spans="1:4" ht="15.75">
      <c r="A174" s="30" t="s">
        <v>533</v>
      </c>
      <c r="B174" s="13" t="s">
        <v>109</v>
      </c>
      <c r="C174" s="13" t="s">
        <v>69</v>
      </c>
      <c r="D174" s="13" t="s">
        <v>21</v>
      </c>
    </row>
    <row r="175" spans="1:4" ht="15.75">
      <c r="A175" s="30" t="s">
        <v>534</v>
      </c>
      <c r="B175" s="13" t="s">
        <v>66</v>
      </c>
      <c r="C175" s="13" t="s">
        <v>69</v>
      </c>
      <c r="D175" s="13" t="s">
        <v>12</v>
      </c>
    </row>
    <row r="176" spans="1:4" ht="15.75">
      <c r="A176" s="30" t="s">
        <v>535</v>
      </c>
      <c r="B176" s="13" t="s">
        <v>110</v>
      </c>
      <c r="C176" s="13" t="s">
        <v>75</v>
      </c>
      <c r="D176" s="33">
        <f>E173/E2</f>
        <v>0.168</v>
      </c>
    </row>
    <row r="177" spans="1:10" ht="211.5" customHeight="1">
      <c r="A177" s="30" t="s">
        <v>536</v>
      </c>
      <c r="B177" s="13" t="s">
        <v>108</v>
      </c>
      <c r="C177" s="13" t="s">
        <v>69</v>
      </c>
      <c r="D177" s="13" t="s">
        <v>426</v>
      </c>
      <c r="E177" s="43">
        <f>F177</f>
        <v>162336.8136</v>
      </c>
      <c r="F177" s="43">
        <f>'[7]Семашко 5,2(новый тариф)'!$K$14*12*E2</f>
        <v>162336.8136</v>
      </c>
      <c r="G177" s="43">
        <f>17625.5+21477.98</f>
        <v>39103.479999999996</v>
      </c>
      <c r="I177" s="43">
        <f>2.722*12*E2</f>
        <v>162336.8136</v>
      </c>
      <c r="J177" s="43">
        <f>7560.03+32173.64+13988.34+33189.84</f>
        <v>86911.84999999999</v>
      </c>
    </row>
    <row r="178" spans="1:4" ht="15.75">
      <c r="A178" s="30" t="s">
        <v>537</v>
      </c>
      <c r="B178" s="13" t="s">
        <v>109</v>
      </c>
      <c r="C178" s="13" t="s">
        <v>69</v>
      </c>
      <c r="D178" s="13" t="s">
        <v>414</v>
      </c>
    </row>
    <row r="179" spans="1:4" ht="15.75">
      <c r="A179" s="30" t="s">
        <v>538</v>
      </c>
      <c r="B179" s="13" t="s">
        <v>66</v>
      </c>
      <c r="C179" s="13" t="s">
        <v>69</v>
      </c>
      <c r="D179" s="13" t="s">
        <v>12</v>
      </c>
    </row>
    <row r="180" spans="1:4" ht="15.75">
      <c r="A180" s="30" t="s">
        <v>539</v>
      </c>
      <c r="B180" s="13" t="s">
        <v>110</v>
      </c>
      <c r="C180" s="13" t="s">
        <v>75</v>
      </c>
      <c r="D180" s="33">
        <f>E177/E2</f>
        <v>32.664</v>
      </c>
    </row>
    <row r="181" spans="1:4" ht="47.25">
      <c r="A181" s="44" t="s">
        <v>151</v>
      </c>
      <c r="B181" s="27" t="s">
        <v>106</v>
      </c>
      <c r="C181" s="27" t="s">
        <v>69</v>
      </c>
      <c r="D181" s="27" t="s">
        <v>49</v>
      </c>
    </row>
    <row r="182" spans="1:6" ht="18.75">
      <c r="A182" s="30" t="s">
        <v>152</v>
      </c>
      <c r="B182" s="13" t="s">
        <v>107</v>
      </c>
      <c r="C182" s="13" t="s">
        <v>75</v>
      </c>
      <c r="D182" s="13">
        <f>E183+E187</f>
        <v>3023.17</v>
      </c>
      <c r="F182" s="37"/>
    </row>
    <row r="183" spans="1:9" ht="31.5">
      <c r="A183" s="30" t="s">
        <v>540</v>
      </c>
      <c r="B183" s="13" t="s">
        <v>108</v>
      </c>
      <c r="C183" s="13" t="s">
        <v>69</v>
      </c>
      <c r="D183" s="32" t="s">
        <v>427</v>
      </c>
      <c r="E183" s="35">
        <v>0</v>
      </c>
      <c r="F183" s="35">
        <v>1417.09</v>
      </c>
      <c r="G183" s="35">
        <v>0</v>
      </c>
      <c r="I183" s="43">
        <f>0.019*12*E2</f>
        <v>1133.1372</v>
      </c>
    </row>
    <row r="184" spans="1:7" ht="15.75">
      <c r="A184" s="30" t="s">
        <v>543</v>
      </c>
      <c r="B184" s="13" t="s">
        <v>109</v>
      </c>
      <c r="C184" s="13" t="s">
        <v>69</v>
      </c>
      <c r="D184" s="32" t="s">
        <v>414</v>
      </c>
      <c r="E184" s="35"/>
      <c r="F184" s="35"/>
      <c r="G184" s="35"/>
    </row>
    <row r="185" spans="1:7" ht="15.75">
      <c r="A185" s="30" t="s">
        <v>542</v>
      </c>
      <c r="B185" s="13" t="s">
        <v>66</v>
      </c>
      <c r="C185" s="13" t="s">
        <v>69</v>
      </c>
      <c r="D185" s="32" t="s">
        <v>12</v>
      </c>
      <c r="E185" s="35"/>
      <c r="F185" s="35"/>
      <c r="G185" s="35"/>
    </row>
    <row r="186" spans="1:7" ht="15.75">
      <c r="A186" s="30" t="s">
        <v>544</v>
      </c>
      <c r="B186" s="13" t="s">
        <v>110</v>
      </c>
      <c r="C186" s="13" t="s">
        <v>75</v>
      </c>
      <c r="D186" s="32">
        <f>E183/E2</f>
        <v>0</v>
      </c>
      <c r="E186" s="35"/>
      <c r="F186" s="35"/>
      <c r="G186" s="35"/>
    </row>
    <row r="187" spans="1:10" ht="31.5">
      <c r="A187" s="30" t="s">
        <v>545</v>
      </c>
      <c r="B187" s="13" t="s">
        <v>108</v>
      </c>
      <c r="C187" s="13" t="s">
        <v>69</v>
      </c>
      <c r="D187" s="32" t="s">
        <v>428</v>
      </c>
      <c r="E187" s="35">
        <f>932.32+1236.54+854.31</f>
        <v>3023.17</v>
      </c>
      <c r="F187" s="35">
        <v>13090.98</v>
      </c>
      <c r="G187" s="35">
        <v>0</v>
      </c>
      <c r="I187" s="43">
        <f>0.175*12*E2</f>
        <v>10436.789999999997</v>
      </c>
      <c r="J187" s="35">
        <v>133.53</v>
      </c>
    </row>
    <row r="188" spans="1:7" ht="15.75">
      <c r="A188" s="30" t="s">
        <v>541</v>
      </c>
      <c r="B188" s="13" t="s">
        <v>109</v>
      </c>
      <c r="C188" s="13" t="s">
        <v>69</v>
      </c>
      <c r="D188" s="32" t="s">
        <v>37</v>
      </c>
      <c r="E188" s="35"/>
      <c r="F188" s="35"/>
      <c r="G188" s="35"/>
    </row>
    <row r="189" spans="1:7" ht="15.75">
      <c r="A189" s="30" t="s">
        <v>546</v>
      </c>
      <c r="B189" s="13" t="s">
        <v>66</v>
      </c>
      <c r="C189" s="13" t="s">
        <v>69</v>
      </c>
      <c r="D189" s="32" t="s">
        <v>12</v>
      </c>
      <c r="E189" s="35"/>
      <c r="F189" s="35"/>
      <c r="G189" s="35"/>
    </row>
    <row r="190" spans="1:7" ht="15.75">
      <c r="A190" s="30" t="s">
        <v>547</v>
      </c>
      <c r="B190" s="13" t="s">
        <v>110</v>
      </c>
      <c r="C190" s="13" t="s">
        <v>75</v>
      </c>
      <c r="D190" s="32">
        <f>E187/E2</f>
        <v>0.6082959415682408</v>
      </c>
      <c r="E190" s="35"/>
      <c r="F190" s="35"/>
      <c r="G190" s="35"/>
    </row>
    <row r="191" spans="1:4" ht="15.75">
      <c r="A191" s="30"/>
      <c r="B191" s="27" t="s">
        <v>274</v>
      </c>
      <c r="C191" s="13" t="s">
        <v>75</v>
      </c>
      <c r="D191" s="38">
        <f>SUM(D28,D34,D64,D70,D76,D86,D140,D182)</f>
        <v>520449.9161199999</v>
      </c>
    </row>
    <row r="192" spans="1:4" ht="15.75">
      <c r="A192" s="48" t="s">
        <v>286</v>
      </c>
      <c r="B192" s="48"/>
      <c r="C192" s="48"/>
      <c r="D192" s="48"/>
    </row>
    <row r="193" spans="1:4" ht="15.75">
      <c r="A193" s="30" t="s">
        <v>287</v>
      </c>
      <c r="B193" s="13" t="s">
        <v>288</v>
      </c>
      <c r="C193" s="13" t="s">
        <v>289</v>
      </c>
      <c r="D193" s="55">
        <f>'[4]Управл 2017'!$AA$71</f>
        <v>3</v>
      </c>
    </row>
    <row r="194" spans="1:4" ht="15.75">
      <c r="A194" s="30" t="s">
        <v>290</v>
      </c>
      <c r="B194" s="13" t="s">
        <v>291</v>
      </c>
      <c r="C194" s="13" t="s">
        <v>289</v>
      </c>
      <c r="D194" s="55">
        <f>'[4]Управл 2017'!$AB$71</f>
        <v>3</v>
      </c>
    </row>
    <row r="195" spans="1:4" ht="31.5">
      <c r="A195" s="30" t="s">
        <v>292</v>
      </c>
      <c r="B195" s="13" t="s">
        <v>293</v>
      </c>
      <c r="C195" s="13" t="s">
        <v>289</v>
      </c>
      <c r="D195" s="13">
        <v>0</v>
      </c>
    </row>
    <row r="196" spans="1:4" ht="15.75">
      <c r="A196" s="30" t="s">
        <v>294</v>
      </c>
      <c r="B196" s="13" t="s">
        <v>295</v>
      </c>
      <c r="C196" s="13" t="s">
        <v>75</v>
      </c>
      <c r="D196" s="32">
        <v>-52198.39</v>
      </c>
    </row>
    <row r="197" spans="1:4" ht="15.75">
      <c r="A197" s="48" t="s">
        <v>296</v>
      </c>
      <c r="B197" s="48"/>
      <c r="C197" s="48"/>
      <c r="D197" s="48"/>
    </row>
    <row r="198" spans="1:4" ht="15.75">
      <c r="A198" s="30" t="s">
        <v>297</v>
      </c>
      <c r="B198" s="13" t="s">
        <v>74</v>
      </c>
      <c r="C198" s="13" t="s">
        <v>75</v>
      </c>
      <c r="D198" s="13">
        <v>0</v>
      </c>
    </row>
    <row r="199" spans="1:4" ht="31.5">
      <c r="A199" s="30" t="s">
        <v>298</v>
      </c>
      <c r="B199" s="13" t="s">
        <v>76</v>
      </c>
      <c r="C199" s="13" t="s">
        <v>75</v>
      </c>
      <c r="D199" s="13">
        <v>0</v>
      </c>
    </row>
    <row r="200" spans="1:4" ht="15.75">
      <c r="A200" s="30" t="s">
        <v>299</v>
      </c>
      <c r="B200" s="13" t="s">
        <v>78</v>
      </c>
      <c r="C200" s="13" t="s">
        <v>75</v>
      </c>
      <c r="D200" s="13">
        <v>0</v>
      </c>
    </row>
    <row r="201" spans="1:4" ht="15.75">
      <c r="A201" s="30" t="s">
        <v>300</v>
      </c>
      <c r="B201" s="13" t="s">
        <v>101</v>
      </c>
      <c r="C201" s="13" t="s">
        <v>75</v>
      </c>
      <c r="D201" s="13">
        <v>0</v>
      </c>
    </row>
    <row r="202" spans="1:4" ht="31.5">
      <c r="A202" s="30" t="s">
        <v>301</v>
      </c>
      <c r="B202" s="13" t="s">
        <v>302</v>
      </c>
      <c r="C202" s="13" t="s">
        <v>75</v>
      </c>
      <c r="D202" s="13">
        <v>0</v>
      </c>
    </row>
    <row r="203" spans="1:4" ht="15.75">
      <c r="A203" s="30" t="s">
        <v>303</v>
      </c>
      <c r="B203" s="13" t="s">
        <v>103</v>
      </c>
      <c r="C203" s="13" t="s">
        <v>75</v>
      </c>
      <c r="D203" s="13">
        <v>0</v>
      </c>
    </row>
    <row r="204" spans="1:4" ht="15.75">
      <c r="A204" s="48" t="s">
        <v>304</v>
      </c>
      <c r="B204" s="48"/>
      <c r="C204" s="48"/>
      <c r="D204" s="48"/>
    </row>
    <row r="205" spans="1:4" ht="15.75">
      <c r="A205" s="30" t="s">
        <v>305</v>
      </c>
      <c r="B205" s="13" t="s">
        <v>288</v>
      </c>
      <c r="C205" s="13" t="s">
        <v>289</v>
      </c>
      <c r="D205" s="13">
        <v>0</v>
      </c>
    </row>
    <row r="206" spans="1:4" ht="15.75">
      <c r="A206" s="30" t="s">
        <v>306</v>
      </c>
      <c r="B206" s="13" t="s">
        <v>291</v>
      </c>
      <c r="C206" s="13" t="s">
        <v>289</v>
      </c>
      <c r="D206" s="13">
        <v>0</v>
      </c>
    </row>
    <row r="207" spans="1:4" ht="15.75">
      <c r="A207" s="30" t="s">
        <v>307</v>
      </c>
      <c r="B207" s="13" t="s">
        <v>308</v>
      </c>
      <c r="C207" s="13" t="s">
        <v>289</v>
      </c>
      <c r="D207" s="13">
        <v>0</v>
      </c>
    </row>
    <row r="208" spans="1:4" ht="15.75">
      <c r="A208" s="30" t="s">
        <v>309</v>
      </c>
      <c r="B208" s="13" t="s">
        <v>295</v>
      </c>
      <c r="C208" s="13" t="s">
        <v>75</v>
      </c>
      <c r="D208" s="13">
        <v>0</v>
      </c>
    </row>
    <row r="209" spans="1:4" ht="15.75">
      <c r="A209" s="48" t="s">
        <v>310</v>
      </c>
      <c r="B209" s="48"/>
      <c r="C209" s="48"/>
      <c r="D209" s="48"/>
    </row>
    <row r="210" spans="1:4" ht="15.75">
      <c r="A210" s="30" t="s">
        <v>311</v>
      </c>
      <c r="B210" s="13" t="s">
        <v>312</v>
      </c>
      <c r="C210" s="13" t="s">
        <v>289</v>
      </c>
      <c r="D210" s="13">
        <v>37</v>
      </c>
    </row>
    <row r="211" spans="1:4" ht="15.75">
      <c r="A211" s="30" t="s">
        <v>313</v>
      </c>
      <c r="B211" s="13" t="s">
        <v>314</v>
      </c>
      <c r="C211" s="13" t="s">
        <v>289</v>
      </c>
      <c r="D211" s="13">
        <v>0</v>
      </c>
    </row>
    <row r="212" spans="1:4" ht="31.5">
      <c r="A212" s="30" t="s">
        <v>315</v>
      </c>
      <c r="B212" s="13" t="s">
        <v>316</v>
      </c>
      <c r="C212" s="13" t="s">
        <v>75</v>
      </c>
      <c r="D212" s="13">
        <v>88400</v>
      </c>
    </row>
    <row r="215" spans="1:4" ht="15.75">
      <c r="A215" s="56" t="s">
        <v>559</v>
      </c>
      <c r="B215" s="56"/>
      <c r="C215" s="56"/>
      <c r="D215" s="57" t="s">
        <v>548</v>
      </c>
    </row>
  </sheetData>
  <sheetProtection password="CC29" sheet="1" objects="1" scenarios="1"/>
  <mergeCells count="10">
    <mergeCell ref="J141:Q141"/>
    <mergeCell ref="A2:D2"/>
    <mergeCell ref="A8:D8"/>
    <mergeCell ref="A26:D26"/>
    <mergeCell ref="F77:F78"/>
    <mergeCell ref="A215:C215"/>
    <mergeCell ref="A192:D192"/>
    <mergeCell ref="A197:D197"/>
    <mergeCell ref="A204:D204"/>
    <mergeCell ref="A209:D209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122" max="7" man="1"/>
    <brk id="180" max="7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2.7109375" style="7" customWidth="1"/>
    <col min="5" max="5" width="18.7109375" style="7" customWidth="1"/>
    <col min="6" max="6" width="17.8515625" style="7" customWidth="1"/>
    <col min="7" max="22" width="9.140625" style="7" customWidth="1"/>
    <col min="23" max="16384" width="9.140625" style="8" customWidth="1"/>
  </cols>
  <sheetData>
    <row r="1" ht="15.75">
      <c r="E1" s="7" t="s">
        <v>321</v>
      </c>
    </row>
    <row r="2" spans="1:22" s="10" customFormat="1" ht="33.75" customHeight="1">
      <c r="A2" s="46" t="s">
        <v>379</v>
      </c>
      <c r="B2" s="46"/>
      <c r="C2" s="46"/>
      <c r="D2" s="46"/>
      <c r="E2" s="9">
        <v>4969.9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319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385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320</v>
      </c>
    </row>
    <row r="8" spans="1:4" ht="42.75" customHeight="1">
      <c r="A8" s="47" t="s">
        <v>105</v>
      </c>
      <c r="B8" s="47"/>
      <c r="C8" s="47"/>
      <c r="D8" s="47"/>
    </row>
    <row r="9" spans="1:4" ht="15.75">
      <c r="A9" s="11" t="s">
        <v>59</v>
      </c>
      <c r="B9" s="12" t="s">
        <v>74</v>
      </c>
      <c r="C9" s="12" t="s">
        <v>75</v>
      </c>
      <c r="D9" s="12">
        <v>0</v>
      </c>
    </row>
    <row r="10" spans="1:4" ht="15.75">
      <c r="A10" s="11" t="s">
        <v>60</v>
      </c>
      <c r="B10" s="12" t="s">
        <v>76</v>
      </c>
      <c r="C10" s="12" t="s">
        <v>75</v>
      </c>
      <c r="D10" s="12">
        <v>0</v>
      </c>
    </row>
    <row r="11" spans="1:4" ht="15.75">
      <c r="A11" s="11" t="s">
        <v>77</v>
      </c>
      <c r="B11" s="12" t="s">
        <v>78</v>
      </c>
      <c r="C11" s="12" t="s">
        <v>75</v>
      </c>
      <c r="D11" s="12">
        <v>0</v>
      </c>
    </row>
    <row r="12" spans="1:22" s="2" customFormat="1" ht="31.5">
      <c r="A12" s="3" t="s">
        <v>79</v>
      </c>
      <c r="B12" s="4" t="s">
        <v>80</v>
      </c>
      <c r="C12" s="4" t="s">
        <v>75</v>
      </c>
      <c r="D12" s="4">
        <f>D13+D14+D15</f>
        <v>216794.81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.75">
      <c r="A13" s="3" t="s">
        <v>96</v>
      </c>
      <c r="B13" s="5" t="s">
        <v>81</v>
      </c>
      <c r="C13" s="4" t="s">
        <v>75</v>
      </c>
      <c r="D13" s="4">
        <v>116605.66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.75">
      <c r="A14" s="3" t="s">
        <v>97</v>
      </c>
      <c r="B14" s="5" t="s">
        <v>82</v>
      </c>
      <c r="C14" s="4" t="s">
        <v>75</v>
      </c>
      <c r="D14" s="4">
        <v>70225.78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5.75">
      <c r="A15" s="3" t="s">
        <v>98</v>
      </c>
      <c r="B15" s="5" t="s">
        <v>83</v>
      </c>
      <c r="C15" s="4" t="s">
        <v>75</v>
      </c>
      <c r="D15" s="4">
        <f>D80</f>
        <v>29963.37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4" ht="15.75">
      <c r="A16" s="14" t="s">
        <v>84</v>
      </c>
      <c r="B16" s="14" t="s">
        <v>85</v>
      </c>
      <c r="C16" s="14" t="s">
        <v>75</v>
      </c>
      <c r="D16" s="14">
        <f>D17</f>
        <v>219465.49</v>
      </c>
    </row>
    <row r="17" spans="1:4" ht="31.5">
      <c r="A17" s="14" t="s">
        <v>61</v>
      </c>
      <c r="B17" s="14" t="s">
        <v>99</v>
      </c>
      <c r="C17" s="14" t="s">
        <v>75</v>
      </c>
      <c r="D17" s="14">
        <v>219465.49</v>
      </c>
    </row>
    <row r="18" spans="1:4" ht="31.5">
      <c r="A18" s="14" t="s">
        <v>86</v>
      </c>
      <c r="B18" s="14" t="s">
        <v>100</v>
      </c>
      <c r="C18" s="14" t="s">
        <v>75</v>
      </c>
      <c r="D18" s="14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14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14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14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14">
        <f>D16</f>
        <v>219465.49</v>
      </c>
    </row>
    <row r="23" spans="1:4" ht="15.75">
      <c r="A23" s="14" t="s">
        <v>93</v>
      </c>
      <c r="B23" s="14" t="s">
        <v>101</v>
      </c>
      <c r="C23" s="14" t="s">
        <v>75</v>
      </c>
      <c r="D23" s="14">
        <v>0</v>
      </c>
    </row>
    <row r="24" spans="1:4" ht="15.75">
      <c r="A24" s="14" t="s">
        <v>94</v>
      </c>
      <c r="B24" s="14" t="s">
        <v>102</v>
      </c>
      <c r="C24" s="14" t="s">
        <v>75</v>
      </c>
      <c r="D24" s="14">
        <v>6812.61</v>
      </c>
    </row>
    <row r="25" spans="1:4" ht="15.75">
      <c r="A25" s="14" t="s">
        <v>95</v>
      </c>
      <c r="B25" s="14" t="s">
        <v>103</v>
      </c>
      <c r="C25" s="14" t="s">
        <v>75</v>
      </c>
      <c r="D25" s="14">
        <v>0</v>
      </c>
    </row>
    <row r="26" spans="1:22" s="16" customFormat="1" ht="35.25" customHeight="1">
      <c r="A26" s="48" t="s">
        <v>104</v>
      </c>
      <c r="B26" s="48"/>
      <c r="C26" s="48"/>
      <c r="D26" s="4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E28</f>
        <v>22598.37</v>
      </c>
      <c r="E28" s="19">
        <v>22598.37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4</v>
      </c>
      <c r="E29" s="1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4.547047224290227</v>
      </c>
      <c r="E32" s="1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E35+E39+E43+E51+E59+E63+E47+E55</f>
        <v>18197.77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13" t="s">
        <v>14</v>
      </c>
      <c r="E35" s="15">
        <v>268.37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13" t="s">
        <v>21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13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2">
        <f>E35/E2</f>
        <v>0.05399907442805691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13" t="s">
        <v>322</v>
      </c>
      <c r="E39" s="15">
        <v>769.34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13" t="s">
        <v>37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13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2">
        <f>E39/E2</f>
        <v>0.1547998953701282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13" t="s">
        <v>15</v>
      </c>
      <c r="E43" s="15">
        <f>1410.95</f>
        <v>1410.95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13" t="s">
        <v>33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13" t="s">
        <v>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1">
        <f>E43/E2</f>
        <v>0.28389907241594403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0"/>
      <c r="B47" s="13" t="s">
        <v>108</v>
      </c>
      <c r="C47" s="13" t="s">
        <v>69</v>
      </c>
      <c r="D47" s="31" t="s">
        <v>380</v>
      </c>
      <c r="E47" s="15">
        <v>3011.76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0"/>
      <c r="B48" s="13" t="s">
        <v>109</v>
      </c>
      <c r="C48" s="13" t="s">
        <v>69</v>
      </c>
      <c r="D48" s="31" t="s">
        <v>149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0"/>
      <c r="B49" s="13" t="s">
        <v>66</v>
      </c>
      <c r="C49" s="13" t="s">
        <v>69</v>
      </c>
      <c r="D49" s="31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0"/>
      <c r="B50" s="13" t="s">
        <v>110</v>
      </c>
      <c r="C50" s="13" t="s">
        <v>75</v>
      </c>
      <c r="D50" s="31">
        <f>E47/E2</f>
        <v>0.6060001207267752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1.5">
      <c r="A51" s="30" t="s">
        <v>337</v>
      </c>
      <c r="B51" s="13" t="s">
        <v>108</v>
      </c>
      <c r="C51" s="13" t="s">
        <v>69</v>
      </c>
      <c r="D51" s="13" t="s">
        <v>16</v>
      </c>
      <c r="E51" s="15">
        <v>3533.1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0" t="s">
        <v>338</v>
      </c>
      <c r="B52" s="13" t="s">
        <v>109</v>
      </c>
      <c r="C52" s="13" t="s">
        <v>69</v>
      </c>
      <c r="D52" s="13" t="s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0" t="s">
        <v>339</v>
      </c>
      <c r="B53" s="13" t="s">
        <v>66</v>
      </c>
      <c r="C53" s="13" t="s">
        <v>69</v>
      </c>
      <c r="D53" s="13" t="s">
        <v>12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0" t="s">
        <v>340</v>
      </c>
      <c r="B54" s="13" t="s">
        <v>110</v>
      </c>
      <c r="C54" s="13" t="s">
        <v>75</v>
      </c>
      <c r="D54" s="32">
        <f>E51/E2</f>
        <v>0.7108996156864323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0"/>
      <c r="B55" s="13" t="s">
        <v>108</v>
      </c>
      <c r="C55" s="13" t="s">
        <v>69</v>
      </c>
      <c r="D55" s="31" t="s">
        <v>381</v>
      </c>
      <c r="E55" s="15">
        <v>9204.25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0"/>
      <c r="B56" s="13" t="s">
        <v>109</v>
      </c>
      <c r="C56" s="13" t="s">
        <v>69</v>
      </c>
      <c r="D56" s="31" t="s">
        <v>149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0"/>
      <c r="B57" s="13" t="s">
        <v>66</v>
      </c>
      <c r="C57" s="13" t="s">
        <v>69</v>
      </c>
      <c r="D57" s="31" t="s">
        <v>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0"/>
      <c r="B58" s="13" t="s">
        <v>110</v>
      </c>
      <c r="C58" s="13" t="s">
        <v>75</v>
      </c>
      <c r="D58" s="31">
        <f>E55/E2</f>
        <v>1.8519990341857986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6" customFormat="1" ht="47.25">
      <c r="A59" s="30" t="s">
        <v>341</v>
      </c>
      <c r="B59" s="13" t="s">
        <v>108</v>
      </c>
      <c r="C59" s="13" t="s">
        <v>69</v>
      </c>
      <c r="D59" s="32" t="s">
        <v>325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6" customFormat="1" ht="15.75">
      <c r="A60" s="30" t="s">
        <v>342</v>
      </c>
      <c r="B60" s="13" t="s">
        <v>109</v>
      </c>
      <c r="C60" s="13" t="s">
        <v>69</v>
      </c>
      <c r="D60" s="32" t="s">
        <v>149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15.75">
      <c r="A61" s="30" t="s">
        <v>343</v>
      </c>
      <c r="B61" s="13" t="s">
        <v>66</v>
      </c>
      <c r="C61" s="13" t="s">
        <v>69</v>
      </c>
      <c r="D61" s="32" t="s">
        <v>12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0" t="s">
        <v>344</v>
      </c>
      <c r="B62" s="13" t="s">
        <v>110</v>
      </c>
      <c r="C62" s="13" t="s">
        <v>75</v>
      </c>
      <c r="D62" s="32">
        <f>E59/E2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31.5">
      <c r="A63" s="30" t="s">
        <v>345</v>
      </c>
      <c r="B63" s="13" t="s">
        <v>108</v>
      </c>
      <c r="C63" s="13" t="s">
        <v>69</v>
      </c>
      <c r="D63" s="32" t="s">
        <v>324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0" t="s">
        <v>346</v>
      </c>
      <c r="B64" s="13" t="s">
        <v>109</v>
      </c>
      <c r="C64" s="13" t="s">
        <v>69</v>
      </c>
      <c r="D64" s="32" t="s">
        <v>149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15.75">
      <c r="A65" s="30" t="s">
        <v>347</v>
      </c>
      <c r="B65" s="13" t="s">
        <v>66</v>
      </c>
      <c r="C65" s="13" t="s">
        <v>69</v>
      </c>
      <c r="D65" s="32" t="s">
        <v>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0" t="s">
        <v>348</v>
      </c>
      <c r="B66" s="13" t="s">
        <v>110</v>
      </c>
      <c r="C66" s="13" t="s">
        <v>75</v>
      </c>
      <c r="D66" s="32">
        <f>E63/E2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29" customFormat="1" ht="24.75" customHeight="1">
      <c r="A67" s="26" t="s">
        <v>131</v>
      </c>
      <c r="B67" s="27" t="s">
        <v>106</v>
      </c>
      <c r="C67" s="27" t="s">
        <v>69</v>
      </c>
      <c r="D67" s="27" t="s">
        <v>18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6" customFormat="1" ht="15.75">
      <c r="A68" s="30" t="s">
        <v>132</v>
      </c>
      <c r="B68" s="13" t="s">
        <v>107</v>
      </c>
      <c r="C68" s="13" t="s">
        <v>75</v>
      </c>
      <c r="D68" s="13">
        <f>E68</f>
        <v>19449.05</v>
      </c>
      <c r="E68" s="28">
        <v>19449.05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31.5">
      <c r="A69" s="30" t="s">
        <v>133</v>
      </c>
      <c r="B69" s="13" t="s">
        <v>108</v>
      </c>
      <c r="C69" s="13" t="s">
        <v>69</v>
      </c>
      <c r="D69" s="13" t="s">
        <v>19</v>
      </c>
      <c r="E69" s="2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0" t="s">
        <v>134</v>
      </c>
      <c r="B70" s="13" t="s">
        <v>109</v>
      </c>
      <c r="C70" s="13" t="s">
        <v>69</v>
      </c>
      <c r="D70" s="13" t="s">
        <v>20</v>
      </c>
      <c r="E70" s="2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15.75">
      <c r="A71" s="30" t="s">
        <v>135</v>
      </c>
      <c r="B71" s="13" t="s">
        <v>66</v>
      </c>
      <c r="C71" s="13" t="s">
        <v>69</v>
      </c>
      <c r="D71" s="13" t="s">
        <v>12</v>
      </c>
      <c r="E71" s="2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0" t="s">
        <v>136</v>
      </c>
      <c r="B72" s="13" t="s">
        <v>110</v>
      </c>
      <c r="C72" s="13" t="s">
        <v>75</v>
      </c>
      <c r="D72" s="33">
        <f>E68/E2</f>
        <v>3.913368478238999</v>
      </c>
      <c r="E72" s="2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29" customFormat="1" ht="15.75">
      <c r="A73" s="26" t="s">
        <v>137</v>
      </c>
      <c r="B73" s="27" t="s">
        <v>106</v>
      </c>
      <c r="C73" s="27" t="s">
        <v>69</v>
      </c>
      <c r="D73" s="27" t="s">
        <v>384</v>
      </c>
      <c r="E73" s="28"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6" customFormat="1" ht="15.75">
      <c r="A74" s="30" t="s">
        <v>138</v>
      </c>
      <c r="B74" s="13" t="s">
        <v>107</v>
      </c>
      <c r="C74" s="13" t="s">
        <v>75</v>
      </c>
      <c r="D74" s="13">
        <v>0</v>
      </c>
      <c r="E74" s="2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0" t="s">
        <v>139</v>
      </c>
      <c r="B75" s="13" t="s">
        <v>108</v>
      </c>
      <c r="C75" s="13" t="s">
        <v>69</v>
      </c>
      <c r="D75" s="13" t="s">
        <v>384</v>
      </c>
      <c r="E75" s="2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0" t="s">
        <v>140</v>
      </c>
      <c r="B76" s="13" t="s">
        <v>109</v>
      </c>
      <c r="C76" s="13" t="s">
        <v>69</v>
      </c>
      <c r="D76" s="13" t="s">
        <v>27</v>
      </c>
      <c r="E76" s="2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0" t="s">
        <v>141</v>
      </c>
      <c r="B77" s="13" t="s">
        <v>66</v>
      </c>
      <c r="C77" s="13" t="s">
        <v>69</v>
      </c>
      <c r="D77" s="13" t="s">
        <v>12</v>
      </c>
      <c r="E77" s="2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0" t="s">
        <v>142</v>
      </c>
      <c r="B78" s="13" t="s">
        <v>110</v>
      </c>
      <c r="C78" s="13" t="s">
        <v>75</v>
      </c>
      <c r="D78" s="13">
        <v>0</v>
      </c>
      <c r="E78" s="2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29" customFormat="1" ht="31.5">
      <c r="A79" s="26" t="s">
        <v>143</v>
      </c>
      <c r="B79" s="27" t="s">
        <v>106</v>
      </c>
      <c r="C79" s="27" t="s">
        <v>69</v>
      </c>
      <c r="D79" s="27" t="s">
        <v>23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16" customFormat="1" ht="15.75">
      <c r="A80" s="30" t="s">
        <v>144</v>
      </c>
      <c r="B80" s="13" t="s">
        <v>107</v>
      </c>
      <c r="C80" s="13" t="s">
        <v>75</v>
      </c>
      <c r="D80" s="13">
        <f>E80</f>
        <v>29963.37</v>
      </c>
      <c r="E80" s="28">
        <v>29963.37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31.5">
      <c r="A81" s="30" t="s">
        <v>145</v>
      </c>
      <c r="B81" s="13" t="s">
        <v>108</v>
      </c>
      <c r="C81" s="13" t="s">
        <v>69</v>
      </c>
      <c r="D81" s="13" t="s">
        <v>7</v>
      </c>
      <c r="E81" s="2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0" t="s">
        <v>146</v>
      </c>
      <c r="B82" s="13" t="s">
        <v>109</v>
      </c>
      <c r="C82" s="13" t="s">
        <v>69</v>
      </c>
      <c r="D82" s="13" t="s">
        <v>20</v>
      </c>
      <c r="E82" s="2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15.75">
      <c r="A83" s="30" t="s">
        <v>147</v>
      </c>
      <c r="B83" s="13" t="s">
        <v>66</v>
      </c>
      <c r="C83" s="13" t="s">
        <v>69</v>
      </c>
      <c r="D83" s="13" t="s">
        <v>12</v>
      </c>
      <c r="E83" s="28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0" t="s">
        <v>148</v>
      </c>
      <c r="B84" s="13" t="s">
        <v>110</v>
      </c>
      <c r="C84" s="13" t="s">
        <v>75</v>
      </c>
      <c r="D84" s="33">
        <f>E80/E2</f>
        <v>6.028968389706031</v>
      </c>
      <c r="E84" s="2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0"/>
      <c r="B85" s="27" t="s">
        <v>106</v>
      </c>
      <c r="C85" s="27" t="s">
        <v>69</v>
      </c>
      <c r="D85" s="27" t="s">
        <v>56</v>
      </c>
      <c r="E85" s="28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0"/>
      <c r="B86" s="13" t="s">
        <v>107</v>
      </c>
      <c r="C86" s="13" t="s">
        <v>75</v>
      </c>
      <c r="D86" s="13">
        <f>E85</f>
        <v>0</v>
      </c>
      <c r="E86" s="2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0"/>
      <c r="B87" s="13" t="s">
        <v>108</v>
      </c>
      <c r="C87" s="13" t="s">
        <v>69</v>
      </c>
      <c r="D87" s="13" t="s">
        <v>56</v>
      </c>
      <c r="E87" s="2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0"/>
      <c r="B88" s="13" t="s">
        <v>109</v>
      </c>
      <c r="C88" s="13" t="s">
        <v>69</v>
      </c>
      <c r="D88" s="13" t="s">
        <v>149</v>
      </c>
      <c r="E88" s="2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0"/>
      <c r="B89" s="13" t="s">
        <v>66</v>
      </c>
      <c r="C89" s="13" t="s">
        <v>69</v>
      </c>
      <c r="D89" s="13" t="s">
        <v>12</v>
      </c>
      <c r="E89" s="2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0"/>
      <c r="B90" s="13" t="s">
        <v>110</v>
      </c>
      <c r="C90" s="13" t="s">
        <v>75</v>
      </c>
      <c r="D90" s="33">
        <f>E85/E2</f>
        <v>0</v>
      </c>
      <c r="E90" s="2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29" customFormat="1" ht="31.5">
      <c r="A91" s="26" t="s">
        <v>151</v>
      </c>
      <c r="B91" s="27" t="s">
        <v>106</v>
      </c>
      <c r="C91" s="27" t="s">
        <v>69</v>
      </c>
      <c r="D91" s="27" t="s">
        <v>57</v>
      </c>
      <c r="E91" s="15">
        <v>0</v>
      </c>
      <c r="F91" s="28" t="s">
        <v>334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16" customFormat="1" ht="15.75">
      <c r="A92" s="30" t="s">
        <v>152</v>
      </c>
      <c r="B92" s="13" t="s">
        <v>107</v>
      </c>
      <c r="C92" s="13" t="s">
        <v>75</v>
      </c>
      <c r="D92" s="13">
        <f>E91</f>
        <v>0</v>
      </c>
      <c r="E92" s="15"/>
      <c r="F92" s="15"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0" t="s">
        <v>153</v>
      </c>
      <c r="B93" s="13" t="s">
        <v>108</v>
      </c>
      <c r="C93" s="13" t="s">
        <v>69</v>
      </c>
      <c r="D93" s="13" t="s">
        <v>57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0" t="s">
        <v>154</v>
      </c>
      <c r="B94" s="13" t="s">
        <v>109</v>
      </c>
      <c r="C94" s="13" t="s">
        <v>69</v>
      </c>
      <c r="D94" s="13" t="s">
        <v>150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0" t="s">
        <v>155</v>
      </c>
      <c r="B95" s="13" t="s">
        <v>66</v>
      </c>
      <c r="C95" s="13" t="s">
        <v>69</v>
      </c>
      <c r="D95" s="13" t="s">
        <v>22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0" t="s">
        <v>156</v>
      </c>
      <c r="B96" s="13" t="s">
        <v>110</v>
      </c>
      <c r="C96" s="13" t="s">
        <v>75</v>
      </c>
      <c r="D96" s="33"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29" customFormat="1" ht="15.75">
      <c r="A97" s="26" t="s">
        <v>157</v>
      </c>
      <c r="B97" s="27" t="s">
        <v>106</v>
      </c>
      <c r="C97" s="27" t="s">
        <v>69</v>
      </c>
      <c r="D97" s="27" t="s">
        <v>24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16" customFormat="1" ht="15.75">
      <c r="A98" s="30" t="s">
        <v>158</v>
      </c>
      <c r="B98" s="13" t="s">
        <v>107</v>
      </c>
      <c r="C98" s="13" t="s">
        <v>75</v>
      </c>
      <c r="D98" s="13">
        <f>E99+E103</f>
        <v>68123.01000000001</v>
      </c>
      <c r="E98" s="28"/>
      <c r="F98" s="28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31.5">
      <c r="A99" s="30" t="s">
        <v>159</v>
      </c>
      <c r="B99" s="13" t="s">
        <v>108</v>
      </c>
      <c r="C99" s="13" t="s">
        <v>69</v>
      </c>
      <c r="D99" s="13" t="s">
        <v>6</v>
      </c>
      <c r="E99" s="28">
        <v>20808.57</v>
      </c>
      <c r="F99" s="28" t="s">
        <v>336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0" t="s">
        <v>160</v>
      </c>
      <c r="B100" s="13" t="s">
        <v>109</v>
      </c>
      <c r="C100" s="13" t="s">
        <v>69</v>
      </c>
      <c r="D100" s="13" t="s">
        <v>25</v>
      </c>
      <c r="E100" s="28"/>
      <c r="F100" s="2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15.75">
      <c r="A101" s="30" t="s">
        <v>161</v>
      </c>
      <c r="B101" s="13" t="s">
        <v>66</v>
      </c>
      <c r="C101" s="13" t="s">
        <v>69</v>
      </c>
      <c r="D101" s="13" t="s">
        <v>12</v>
      </c>
      <c r="E101" s="28"/>
      <c r="F101" s="2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0" t="s">
        <v>162</v>
      </c>
      <c r="B102" s="13" t="s">
        <v>110</v>
      </c>
      <c r="C102" s="13" t="s">
        <v>75</v>
      </c>
      <c r="D102" s="33">
        <f>E99/E2</f>
        <v>4.186919253908529</v>
      </c>
      <c r="E102" s="28"/>
      <c r="F102" s="2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31.5">
      <c r="A103" s="30" t="s">
        <v>163</v>
      </c>
      <c r="B103" s="13" t="s">
        <v>108</v>
      </c>
      <c r="C103" s="13" t="s">
        <v>69</v>
      </c>
      <c r="D103" s="13" t="s">
        <v>5</v>
      </c>
      <c r="E103" s="28">
        <v>47314.44</v>
      </c>
      <c r="F103" s="28" t="s">
        <v>336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0" t="s">
        <v>164</v>
      </c>
      <c r="B104" s="13" t="s">
        <v>109</v>
      </c>
      <c r="C104" s="13" t="s">
        <v>69</v>
      </c>
      <c r="D104" s="13" t="s">
        <v>20</v>
      </c>
      <c r="E104" s="28"/>
      <c r="F104" s="28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15.75">
      <c r="A105" s="30" t="s">
        <v>165</v>
      </c>
      <c r="B105" s="13" t="s">
        <v>66</v>
      </c>
      <c r="C105" s="13" t="s">
        <v>69</v>
      </c>
      <c r="D105" s="13" t="s">
        <v>12</v>
      </c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0" t="s">
        <v>166</v>
      </c>
      <c r="B106" s="13" t="s">
        <v>110</v>
      </c>
      <c r="C106" s="13" t="s">
        <v>75</v>
      </c>
      <c r="D106" s="33">
        <f>E103/E2</f>
        <v>9.520199601601643</v>
      </c>
      <c r="E106" s="28"/>
      <c r="F106" s="2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29" customFormat="1" ht="47.25">
      <c r="A107" s="26" t="s">
        <v>168</v>
      </c>
      <c r="B107" s="27" t="s">
        <v>106</v>
      </c>
      <c r="C107" s="27" t="s">
        <v>69</v>
      </c>
      <c r="D107" s="27" t="s">
        <v>26</v>
      </c>
      <c r="E107" s="28"/>
      <c r="F107" s="13" t="s">
        <v>335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16" customFormat="1" ht="15.75">
      <c r="A108" s="30" t="s">
        <v>169</v>
      </c>
      <c r="B108" s="13" t="s">
        <v>107</v>
      </c>
      <c r="C108" s="13" t="s">
        <v>75</v>
      </c>
      <c r="D108" s="13">
        <f>E109+E113</f>
        <v>0</v>
      </c>
      <c r="E108" s="15"/>
      <c r="F108" s="13">
        <v>674.4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6" customFormat="1" ht="31.5">
      <c r="A109" s="30" t="s">
        <v>170</v>
      </c>
      <c r="B109" s="13" t="s">
        <v>108</v>
      </c>
      <c r="C109" s="13" t="s">
        <v>69</v>
      </c>
      <c r="D109" s="13" t="s">
        <v>9</v>
      </c>
      <c r="E109" s="15">
        <v>0</v>
      </c>
      <c r="F109" s="45" t="s">
        <v>373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6" customFormat="1" ht="15.75">
      <c r="A110" s="30" t="s">
        <v>171</v>
      </c>
      <c r="B110" s="13" t="s">
        <v>109</v>
      </c>
      <c r="C110" s="13" t="s">
        <v>69</v>
      </c>
      <c r="D110" s="13" t="s">
        <v>27</v>
      </c>
      <c r="E110" s="15"/>
      <c r="F110" s="4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15.75">
      <c r="A111" s="30" t="s">
        <v>172</v>
      </c>
      <c r="B111" s="13" t="s">
        <v>66</v>
      </c>
      <c r="C111" s="13" t="s">
        <v>69</v>
      </c>
      <c r="D111" s="13" t="s">
        <v>167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31.5">
      <c r="A112" s="30" t="s">
        <v>173</v>
      </c>
      <c r="B112" s="13" t="s">
        <v>110</v>
      </c>
      <c r="C112" s="13" t="s">
        <v>75</v>
      </c>
      <c r="D112" s="33">
        <f>E109/F108</f>
        <v>0</v>
      </c>
      <c r="E112" s="15"/>
      <c r="F112" s="13" t="s">
        <v>335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31.5">
      <c r="A113" s="30" t="s">
        <v>174</v>
      </c>
      <c r="B113" s="13" t="s">
        <v>108</v>
      </c>
      <c r="C113" s="13" t="s">
        <v>69</v>
      </c>
      <c r="D113" s="13" t="s">
        <v>8</v>
      </c>
      <c r="E113" s="15">
        <v>0</v>
      </c>
      <c r="F113" s="13">
        <f>F108</f>
        <v>674.4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0" t="s">
        <v>175</v>
      </c>
      <c r="B114" s="13" t="s">
        <v>109</v>
      </c>
      <c r="C114" s="13" t="s">
        <v>69</v>
      </c>
      <c r="D114" s="13" t="s">
        <v>28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15.75">
      <c r="A115" s="30" t="s">
        <v>176</v>
      </c>
      <c r="B115" s="13" t="s">
        <v>66</v>
      </c>
      <c r="C115" s="13" t="s">
        <v>69</v>
      </c>
      <c r="D115" s="13" t="s">
        <v>167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0" t="s">
        <v>177</v>
      </c>
      <c r="B116" s="13" t="s">
        <v>110</v>
      </c>
      <c r="C116" s="13" t="s">
        <v>75</v>
      </c>
      <c r="D116" s="33">
        <f>E113/F113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29" customFormat="1" ht="63">
      <c r="A117" s="26" t="s">
        <v>178</v>
      </c>
      <c r="B117" s="27" t="s">
        <v>106</v>
      </c>
      <c r="C117" s="27" t="s">
        <v>69</v>
      </c>
      <c r="D117" s="27" t="s">
        <v>29</v>
      </c>
      <c r="E117" s="28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6" customFormat="1" ht="15.75">
      <c r="A118" s="30" t="s">
        <v>179</v>
      </c>
      <c r="B118" s="13" t="s">
        <v>107</v>
      </c>
      <c r="C118" s="13" t="s">
        <v>75</v>
      </c>
      <c r="D118" s="13">
        <f>E119+E123+E127+E131+E135+E139+E143+E147+E151+E155+E159+E163+E171+E167</f>
        <v>43853.46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0" t="s">
        <v>180</v>
      </c>
      <c r="B119" s="13" t="s">
        <v>108</v>
      </c>
      <c r="C119" s="13" t="s">
        <v>69</v>
      </c>
      <c r="D119" s="13" t="s">
        <v>30</v>
      </c>
      <c r="E119" s="15">
        <v>102.38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0" t="s">
        <v>181</v>
      </c>
      <c r="B120" s="13" t="s">
        <v>109</v>
      </c>
      <c r="C120" s="13" t="s">
        <v>69</v>
      </c>
      <c r="D120" s="13" t="s">
        <v>25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0" t="s">
        <v>182</v>
      </c>
      <c r="B121" s="13" t="s">
        <v>66</v>
      </c>
      <c r="C121" s="13" t="s">
        <v>69</v>
      </c>
      <c r="D121" s="13" t="s">
        <v>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0" t="s">
        <v>183</v>
      </c>
      <c r="B122" s="13" t="s">
        <v>110</v>
      </c>
      <c r="C122" s="13" t="s">
        <v>75</v>
      </c>
      <c r="D122" s="33">
        <f>E119/E2</f>
        <v>0.020600012072677518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0" t="s">
        <v>184</v>
      </c>
      <c r="B123" s="13" t="s">
        <v>108</v>
      </c>
      <c r="C123" s="13" t="s">
        <v>69</v>
      </c>
      <c r="D123" s="13" t="s">
        <v>382</v>
      </c>
      <c r="E123" s="15">
        <v>3888.45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0" t="s">
        <v>185</v>
      </c>
      <c r="B124" s="13" t="s">
        <v>109</v>
      </c>
      <c r="C124" s="13" t="s">
        <v>69</v>
      </c>
      <c r="D124" s="13" t="s">
        <v>31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0" t="s">
        <v>186</v>
      </c>
      <c r="B125" s="13" t="s">
        <v>66</v>
      </c>
      <c r="C125" s="13" t="s">
        <v>69</v>
      </c>
      <c r="D125" s="13" t="s">
        <v>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0" t="s">
        <v>187</v>
      </c>
      <c r="B126" s="13" t="s">
        <v>110</v>
      </c>
      <c r="C126" s="13" t="s">
        <v>75</v>
      </c>
      <c r="D126" s="33">
        <f>E123/E2</f>
        <v>0.7824000482907101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31.5">
      <c r="A127" s="30" t="s">
        <v>188</v>
      </c>
      <c r="B127" s="13" t="s">
        <v>108</v>
      </c>
      <c r="C127" s="13" t="s">
        <v>69</v>
      </c>
      <c r="D127" s="13" t="s">
        <v>3</v>
      </c>
      <c r="E127" s="15">
        <v>204.26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0" t="s">
        <v>189</v>
      </c>
      <c r="B128" s="13" t="s">
        <v>109</v>
      </c>
      <c r="C128" s="13" t="s">
        <v>69</v>
      </c>
      <c r="D128" s="13" t="s">
        <v>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0" t="s">
        <v>190</v>
      </c>
      <c r="B129" s="13" t="s">
        <v>66</v>
      </c>
      <c r="C129" s="13" t="s">
        <v>69</v>
      </c>
      <c r="D129" s="13" t="s">
        <v>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0" t="s">
        <v>191</v>
      </c>
      <c r="B130" s="13" t="s">
        <v>110</v>
      </c>
      <c r="C130" s="13" t="s">
        <v>75</v>
      </c>
      <c r="D130" s="33">
        <f>E127/E2</f>
        <v>0.041099418499366186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0" t="s">
        <v>192</v>
      </c>
      <c r="B131" s="13" t="s">
        <v>108</v>
      </c>
      <c r="C131" s="13" t="s">
        <v>69</v>
      </c>
      <c r="D131" s="13" t="s">
        <v>2</v>
      </c>
      <c r="E131" s="15">
        <v>5469.87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0" t="s">
        <v>193</v>
      </c>
      <c r="B132" s="13" t="s">
        <v>109</v>
      </c>
      <c r="C132" s="13" t="s">
        <v>69</v>
      </c>
      <c r="D132" s="13" t="s">
        <v>33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0" t="s">
        <v>194</v>
      </c>
      <c r="B133" s="13" t="s">
        <v>66</v>
      </c>
      <c r="C133" s="13" t="s">
        <v>69</v>
      </c>
      <c r="D133" s="13" t="s">
        <v>12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0" t="s">
        <v>195</v>
      </c>
      <c r="B134" s="13" t="s">
        <v>110</v>
      </c>
      <c r="C134" s="13" t="s">
        <v>75</v>
      </c>
      <c r="D134" s="33">
        <f>E131/E2</f>
        <v>1.1005996096500936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47.25">
      <c r="A135" s="30" t="s">
        <v>196</v>
      </c>
      <c r="B135" s="13" t="s">
        <v>108</v>
      </c>
      <c r="C135" s="13" t="s">
        <v>69</v>
      </c>
      <c r="D135" s="13" t="s">
        <v>34</v>
      </c>
      <c r="E135" s="15">
        <f>2283.17+881.69</f>
        <v>3164.86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0" t="s">
        <v>197</v>
      </c>
      <c r="B136" s="13" t="s">
        <v>109</v>
      </c>
      <c r="C136" s="13" t="s">
        <v>69</v>
      </c>
      <c r="D136" s="13" t="s">
        <v>35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0" t="s">
        <v>198</v>
      </c>
      <c r="B137" s="13" t="s">
        <v>66</v>
      </c>
      <c r="C137" s="13" t="s">
        <v>69</v>
      </c>
      <c r="D137" s="13" t="s">
        <v>12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0" t="s">
        <v>199</v>
      </c>
      <c r="B138" s="13" t="s">
        <v>110</v>
      </c>
      <c r="C138" s="13" t="s">
        <v>75</v>
      </c>
      <c r="D138" s="33">
        <f>E135/E2</f>
        <v>0.636805569528562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0" t="s">
        <v>200</v>
      </c>
      <c r="B139" s="13" t="s">
        <v>108</v>
      </c>
      <c r="C139" s="13" t="s">
        <v>69</v>
      </c>
      <c r="D139" s="13" t="s">
        <v>36</v>
      </c>
      <c r="E139" s="15">
        <v>8463.74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0" t="s">
        <v>201</v>
      </c>
      <c r="B140" s="13" t="s">
        <v>109</v>
      </c>
      <c r="C140" s="13" t="s">
        <v>69</v>
      </c>
      <c r="D140" s="13" t="s">
        <v>37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0" t="s">
        <v>202</v>
      </c>
      <c r="B141" s="13" t="s">
        <v>66</v>
      </c>
      <c r="C141" s="13" t="s">
        <v>69</v>
      </c>
      <c r="D141" s="13" t="s">
        <v>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0" t="s">
        <v>203</v>
      </c>
      <c r="B142" s="13" t="s">
        <v>110</v>
      </c>
      <c r="C142" s="13" t="s">
        <v>75</v>
      </c>
      <c r="D142" s="33">
        <f>E139/E2</f>
        <v>1.7030000603633877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0" t="s">
        <v>204</v>
      </c>
      <c r="B143" s="13" t="s">
        <v>108</v>
      </c>
      <c r="C143" s="13" t="s">
        <v>69</v>
      </c>
      <c r="D143" s="13" t="s">
        <v>38</v>
      </c>
      <c r="E143" s="15">
        <v>13329.09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0" t="s">
        <v>205</v>
      </c>
      <c r="B144" s="13" t="s">
        <v>109</v>
      </c>
      <c r="C144" s="13" t="s">
        <v>69</v>
      </c>
      <c r="D144" s="13" t="s">
        <v>27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0" t="s">
        <v>206</v>
      </c>
      <c r="B145" s="13" t="s">
        <v>66</v>
      </c>
      <c r="C145" s="13" t="s">
        <v>69</v>
      </c>
      <c r="D145" s="13" t="s">
        <v>12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0" t="s">
        <v>207</v>
      </c>
      <c r="B146" s="13" t="s">
        <v>110</v>
      </c>
      <c r="C146" s="13" t="s">
        <v>75</v>
      </c>
      <c r="D146" s="33">
        <f>E143/E2</f>
        <v>2.6819634197871185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0" t="s">
        <v>208</v>
      </c>
      <c r="B147" s="13" t="s">
        <v>108</v>
      </c>
      <c r="C147" s="13" t="s">
        <v>69</v>
      </c>
      <c r="D147" s="13" t="s">
        <v>39</v>
      </c>
      <c r="E147" s="15">
        <v>4596.16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0" t="s">
        <v>209</v>
      </c>
      <c r="B148" s="13" t="s">
        <v>109</v>
      </c>
      <c r="C148" s="13" t="s">
        <v>69</v>
      </c>
      <c r="D148" s="13" t="s">
        <v>33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0" t="s">
        <v>210</v>
      </c>
      <c r="B149" s="13" t="s">
        <v>66</v>
      </c>
      <c r="C149" s="13" t="s">
        <v>69</v>
      </c>
      <c r="D149" s="13" t="s">
        <v>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0" t="s">
        <v>211</v>
      </c>
      <c r="B150" s="13" t="s">
        <v>110</v>
      </c>
      <c r="C150" s="13" t="s">
        <v>75</v>
      </c>
      <c r="D150" s="33">
        <f>E147/E2</f>
        <v>0.9247992917362523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0" t="s">
        <v>349</v>
      </c>
      <c r="B151" s="13" t="s">
        <v>108</v>
      </c>
      <c r="C151" s="13" t="s">
        <v>69</v>
      </c>
      <c r="D151" s="13" t="s">
        <v>331</v>
      </c>
      <c r="E151" s="15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0" t="s">
        <v>350</v>
      </c>
      <c r="B152" s="13" t="s">
        <v>109</v>
      </c>
      <c r="C152" s="13" t="s">
        <v>69</v>
      </c>
      <c r="D152" s="13" t="s">
        <v>37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0" t="s">
        <v>351</v>
      </c>
      <c r="B153" s="13" t="s">
        <v>66</v>
      </c>
      <c r="C153" s="13" t="s">
        <v>69</v>
      </c>
      <c r="D153" s="13" t="s">
        <v>12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0" t="s">
        <v>352</v>
      </c>
      <c r="B154" s="13" t="s">
        <v>110</v>
      </c>
      <c r="C154" s="13" t="s">
        <v>75</v>
      </c>
      <c r="D154" s="33">
        <f>E151/E2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0" t="s">
        <v>353</v>
      </c>
      <c r="B155" s="13" t="s">
        <v>108</v>
      </c>
      <c r="C155" s="13" t="s">
        <v>69</v>
      </c>
      <c r="D155" s="33" t="s">
        <v>330</v>
      </c>
      <c r="E155" s="15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0" t="s">
        <v>354</v>
      </c>
      <c r="B156" s="13" t="s">
        <v>109</v>
      </c>
      <c r="C156" s="13" t="s">
        <v>69</v>
      </c>
      <c r="D156" s="33" t="s">
        <v>33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0" t="s">
        <v>355</v>
      </c>
      <c r="B157" s="13" t="s">
        <v>66</v>
      </c>
      <c r="C157" s="13" t="s">
        <v>69</v>
      </c>
      <c r="D157" s="33" t="s">
        <v>12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0" t="s">
        <v>356</v>
      </c>
      <c r="B158" s="13" t="s">
        <v>110</v>
      </c>
      <c r="C158" s="13" t="s">
        <v>75</v>
      </c>
      <c r="D158" s="33">
        <f>E155/E2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0" t="s">
        <v>357</v>
      </c>
      <c r="B159" s="13" t="s">
        <v>108</v>
      </c>
      <c r="C159" s="13" t="s">
        <v>69</v>
      </c>
      <c r="D159" s="33" t="s">
        <v>332</v>
      </c>
      <c r="E159" s="15"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0" t="s">
        <v>358</v>
      </c>
      <c r="B160" s="13" t="s">
        <v>109</v>
      </c>
      <c r="C160" s="13" t="s">
        <v>69</v>
      </c>
      <c r="D160" s="33" t="s">
        <v>27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0" t="s">
        <v>359</v>
      </c>
      <c r="B161" s="13" t="s">
        <v>66</v>
      </c>
      <c r="C161" s="13" t="s">
        <v>69</v>
      </c>
      <c r="D161" s="33" t="s">
        <v>12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0" t="s">
        <v>360</v>
      </c>
      <c r="B162" s="13" t="s">
        <v>110</v>
      </c>
      <c r="C162" s="13" t="s">
        <v>75</v>
      </c>
      <c r="D162" s="33">
        <f>E159/E2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0" t="s">
        <v>361</v>
      </c>
      <c r="B163" s="13" t="s">
        <v>108</v>
      </c>
      <c r="C163" s="13" t="s">
        <v>69</v>
      </c>
      <c r="D163" s="33" t="s">
        <v>329</v>
      </c>
      <c r="E163" s="15"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0" t="s">
        <v>362</v>
      </c>
      <c r="B164" s="13" t="s">
        <v>109</v>
      </c>
      <c r="C164" s="13" t="s">
        <v>69</v>
      </c>
      <c r="D164" s="33" t="s">
        <v>27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0" t="s">
        <v>363</v>
      </c>
      <c r="B165" s="13" t="s">
        <v>66</v>
      </c>
      <c r="C165" s="13" t="s">
        <v>69</v>
      </c>
      <c r="D165" s="33" t="s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0" t="s">
        <v>364</v>
      </c>
      <c r="B166" s="13" t="s">
        <v>110</v>
      </c>
      <c r="C166" s="13" t="s">
        <v>75</v>
      </c>
      <c r="D166" s="33">
        <f>E163/E2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0"/>
      <c r="B167" s="13" t="s">
        <v>108</v>
      </c>
      <c r="C167" s="13" t="s">
        <v>69</v>
      </c>
      <c r="D167" s="33" t="s">
        <v>374</v>
      </c>
      <c r="E167" s="15">
        <v>4634.65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0"/>
      <c r="B168" s="13" t="s">
        <v>109</v>
      </c>
      <c r="C168" s="13" t="s">
        <v>69</v>
      </c>
      <c r="D168" s="33" t="s">
        <v>27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0"/>
      <c r="B169" s="13" t="s">
        <v>66</v>
      </c>
      <c r="C169" s="13" t="s">
        <v>69</v>
      </c>
      <c r="D169" s="33" t="s">
        <v>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0"/>
      <c r="B170" s="13" t="s">
        <v>110</v>
      </c>
      <c r="C170" s="13" t="s">
        <v>75</v>
      </c>
      <c r="D170" s="33">
        <v>3.64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31.5">
      <c r="A171" s="30" t="s">
        <v>365</v>
      </c>
      <c r="B171" s="13" t="s">
        <v>108</v>
      </c>
      <c r="C171" s="13" t="s">
        <v>69</v>
      </c>
      <c r="D171" s="13" t="s">
        <v>326</v>
      </c>
      <c r="E171" s="15">
        <v>0</v>
      </c>
      <c r="F171" s="34"/>
      <c r="G171" s="3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0" t="s">
        <v>366</v>
      </c>
      <c r="B172" s="13" t="s">
        <v>109</v>
      </c>
      <c r="C172" s="13" t="s">
        <v>69</v>
      </c>
      <c r="D172" s="13" t="s">
        <v>27</v>
      </c>
      <c r="E172" s="15"/>
      <c r="F172" s="3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0" t="s">
        <v>367</v>
      </c>
      <c r="B173" s="13" t="s">
        <v>66</v>
      </c>
      <c r="C173" s="13" t="s">
        <v>69</v>
      </c>
      <c r="D173" s="13" t="s">
        <v>378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0" t="s">
        <v>368</v>
      </c>
      <c r="B174" s="13" t="s">
        <v>110</v>
      </c>
      <c r="C174" s="13" t="s">
        <v>75</v>
      </c>
      <c r="D174" s="33"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47.25">
      <c r="A175" s="26" t="s">
        <v>212</v>
      </c>
      <c r="B175" s="27" t="s">
        <v>106</v>
      </c>
      <c r="C175" s="27" t="s">
        <v>69</v>
      </c>
      <c r="D175" s="27" t="s">
        <v>40</v>
      </c>
      <c r="E175" s="2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0" t="s">
        <v>213</v>
      </c>
      <c r="B176" s="13" t="s">
        <v>107</v>
      </c>
      <c r="C176" s="13" t="s">
        <v>75</v>
      </c>
      <c r="D176" s="13">
        <f>E177+E181+E185+E189+E193+E197+E201+E205+E209+E213+E217</f>
        <v>17216.43</v>
      </c>
      <c r="E176" s="2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0" t="s">
        <v>214</v>
      </c>
      <c r="B177" s="13" t="s">
        <v>108</v>
      </c>
      <c r="C177" s="13" t="s">
        <v>69</v>
      </c>
      <c r="D177" s="13" t="s">
        <v>41</v>
      </c>
      <c r="E177" s="28">
        <v>503.8</v>
      </c>
      <c r="F177" s="15">
        <v>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0" t="s">
        <v>215</v>
      </c>
      <c r="B178" s="13" t="s">
        <v>109</v>
      </c>
      <c r="C178" s="13" t="s">
        <v>69</v>
      </c>
      <c r="D178" s="13" t="s">
        <v>42</v>
      </c>
      <c r="E178" s="2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0" t="s">
        <v>216</v>
      </c>
      <c r="B179" s="13" t="s">
        <v>66</v>
      </c>
      <c r="C179" s="13" t="s">
        <v>69</v>
      </c>
      <c r="D179" s="13" t="s">
        <v>22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0" t="s">
        <v>217</v>
      </c>
      <c r="B180" s="13" t="s">
        <v>110</v>
      </c>
      <c r="C180" s="13" t="s">
        <v>75</v>
      </c>
      <c r="D180" s="33">
        <v>251.9</v>
      </c>
      <c r="E180" s="2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0"/>
      <c r="B181" s="13" t="s">
        <v>108</v>
      </c>
      <c r="C181" s="13" t="s">
        <v>69</v>
      </c>
      <c r="D181" s="13" t="s">
        <v>383</v>
      </c>
      <c r="E181" s="28">
        <v>0</v>
      </c>
      <c r="F181" s="15">
        <v>1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0"/>
      <c r="B182" s="13" t="s">
        <v>109</v>
      </c>
      <c r="C182" s="13" t="s">
        <v>69</v>
      </c>
      <c r="D182" s="13" t="s">
        <v>42</v>
      </c>
      <c r="E182" s="2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0"/>
      <c r="B183" s="13" t="s">
        <v>66</v>
      </c>
      <c r="C183" s="13" t="s">
        <v>69</v>
      </c>
      <c r="D183" s="13" t="s">
        <v>22</v>
      </c>
      <c r="E183" s="2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0"/>
      <c r="B184" s="13" t="s">
        <v>110</v>
      </c>
      <c r="C184" s="13" t="s">
        <v>75</v>
      </c>
      <c r="D184" s="33">
        <f>E181/F181</f>
        <v>0</v>
      </c>
      <c r="E184" s="2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0" t="s">
        <v>218</v>
      </c>
      <c r="B185" s="13" t="s">
        <v>108</v>
      </c>
      <c r="C185" s="13" t="s">
        <v>69</v>
      </c>
      <c r="D185" s="13" t="s">
        <v>43</v>
      </c>
      <c r="E185" s="15">
        <v>1052.06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0" t="s">
        <v>219</v>
      </c>
      <c r="B186" s="13" t="s">
        <v>109</v>
      </c>
      <c r="C186" s="13" t="s">
        <v>69</v>
      </c>
      <c r="D186" s="13" t="s">
        <v>27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0" t="s">
        <v>220</v>
      </c>
      <c r="B187" s="13" t="s">
        <v>66</v>
      </c>
      <c r="C187" s="13" t="s">
        <v>69</v>
      </c>
      <c r="D187" s="13" t="s">
        <v>12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0" t="s">
        <v>221</v>
      </c>
      <c r="B188" s="13" t="s">
        <v>110</v>
      </c>
      <c r="C188" s="13" t="s">
        <v>75</v>
      </c>
      <c r="D188" s="33">
        <f>E185/E2</f>
        <v>0.21168635183806517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0" t="s">
        <v>222</v>
      </c>
      <c r="B189" s="13" t="s">
        <v>108</v>
      </c>
      <c r="C189" s="13" t="s">
        <v>69</v>
      </c>
      <c r="D189" s="13" t="s">
        <v>44</v>
      </c>
      <c r="E189" s="15"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0" t="s">
        <v>223</v>
      </c>
      <c r="B190" s="13" t="s">
        <v>109</v>
      </c>
      <c r="C190" s="13" t="s">
        <v>69</v>
      </c>
      <c r="D190" s="13" t="s">
        <v>27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0" t="s">
        <v>224</v>
      </c>
      <c r="B191" s="13" t="s">
        <v>66</v>
      </c>
      <c r="C191" s="13" t="s">
        <v>69</v>
      </c>
      <c r="D191" s="13" t="s">
        <v>12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0" t="s">
        <v>225</v>
      </c>
      <c r="B192" s="13" t="s">
        <v>110</v>
      </c>
      <c r="C192" s="13" t="s">
        <v>75</v>
      </c>
      <c r="D192" s="33">
        <f>E189/E2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0" t="s">
        <v>226</v>
      </c>
      <c r="B193" s="13" t="s">
        <v>108</v>
      </c>
      <c r="C193" s="13" t="s">
        <v>69</v>
      </c>
      <c r="D193" s="13" t="s">
        <v>45</v>
      </c>
      <c r="E193" s="15">
        <f>1299.55+480.64</f>
        <v>1780.19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0" t="s">
        <v>227</v>
      </c>
      <c r="B194" s="13" t="s">
        <v>109</v>
      </c>
      <c r="C194" s="13" t="s">
        <v>69</v>
      </c>
      <c r="D194" s="13" t="s">
        <v>27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0" t="s">
        <v>228</v>
      </c>
      <c r="B195" s="13" t="s">
        <v>66</v>
      </c>
      <c r="C195" s="13" t="s">
        <v>69</v>
      </c>
      <c r="D195" s="13" t="s">
        <v>12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0" t="s">
        <v>229</v>
      </c>
      <c r="B196" s="13" t="s">
        <v>110</v>
      </c>
      <c r="C196" s="13" t="s">
        <v>75</v>
      </c>
      <c r="D196" s="33">
        <f>E193/E2</f>
        <v>0.3581943298657921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0" t="s">
        <v>230</v>
      </c>
      <c r="B197" s="13" t="s">
        <v>108</v>
      </c>
      <c r="C197" s="13" t="s">
        <v>69</v>
      </c>
      <c r="D197" s="13" t="s">
        <v>317</v>
      </c>
      <c r="E197" s="15">
        <v>978.62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0" t="s">
        <v>231</v>
      </c>
      <c r="B198" s="13" t="s">
        <v>109</v>
      </c>
      <c r="C198" s="13" t="s">
        <v>69</v>
      </c>
      <c r="D198" s="13" t="s">
        <v>27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0" t="s">
        <v>233</v>
      </c>
      <c r="B199" s="13" t="s">
        <v>66</v>
      </c>
      <c r="C199" s="13" t="s">
        <v>69</v>
      </c>
      <c r="D199" s="13" t="s">
        <v>12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0" t="s">
        <v>234</v>
      </c>
      <c r="B200" s="13" t="s">
        <v>110</v>
      </c>
      <c r="C200" s="13" t="s">
        <v>75</v>
      </c>
      <c r="D200" s="33">
        <f>E197/E2</f>
        <v>0.19690939455522247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0"/>
      <c r="B201" s="13" t="s">
        <v>108</v>
      </c>
      <c r="C201" s="13" t="s">
        <v>69</v>
      </c>
      <c r="D201" s="33" t="s">
        <v>376</v>
      </c>
      <c r="E201" s="15">
        <v>668.15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0"/>
      <c r="B202" s="13" t="s">
        <v>109</v>
      </c>
      <c r="C202" s="13" t="s">
        <v>69</v>
      </c>
      <c r="D202" s="33" t="s">
        <v>27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0"/>
      <c r="B203" s="13" t="s">
        <v>66</v>
      </c>
      <c r="C203" s="13" t="s">
        <v>69</v>
      </c>
      <c r="D203" s="33" t="s">
        <v>12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0"/>
      <c r="B204" s="13" t="s">
        <v>110</v>
      </c>
      <c r="C204" s="13" t="s">
        <v>75</v>
      </c>
      <c r="D204" s="33">
        <f>E201/E2</f>
        <v>0.13443932473490414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0" t="s">
        <v>235</v>
      </c>
      <c r="B205" s="13" t="s">
        <v>108</v>
      </c>
      <c r="C205" s="13" t="s">
        <v>69</v>
      </c>
      <c r="D205" s="13" t="s">
        <v>46</v>
      </c>
      <c r="E205" s="15">
        <v>1347.82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0" t="s">
        <v>232</v>
      </c>
      <c r="B206" s="13" t="s">
        <v>109</v>
      </c>
      <c r="C206" s="13" t="s">
        <v>69</v>
      </c>
      <c r="D206" s="13" t="s">
        <v>27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0" t="s">
        <v>236</v>
      </c>
      <c r="B207" s="13" t="s">
        <v>66</v>
      </c>
      <c r="C207" s="13" t="s">
        <v>69</v>
      </c>
      <c r="D207" s="13" t="s">
        <v>12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0" t="s">
        <v>237</v>
      </c>
      <c r="B208" s="13" t="s">
        <v>110</v>
      </c>
      <c r="C208" s="13" t="s">
        <v>75</v>
      </c>
      <c r="D208" s="33">
        <f>E205/E2</f>
        <v>0.2711966035533914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0" t="s">
        <v>238</v>
      </c>
      <c r="B209" s="13" t="s">
        <v>108</v>
      </c>
      <c r="C209" s="13" t="s">
        <v>69</v>
      </c>
      <c r="D209" s="13" t="s">
        <v>47</v>
      </c>
      <c r="E209" s="15">
        <v>51.25</v>
      </c>
      <c r="F209" s="15" t="s">
        <v>327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0" t="s">
        <v>239</v>
      </c>
      <c r="B210" s="13" t="s">
        <v>109</v>
      </c>
      <c r="C210" s="13" t="s">
        <v>69</v>
      </c>
      <c r="D210" s="13" t="s">
        <v>27</v>
      </c>
      <c r="E210" s="15"/>
      <c r="F210" s="15" t="s">
        <v>12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0" t="s">
        <v>240</v>
      </c>
      <c r="B211" s="13" t="s">
        <v>66</v>
      </c>
      <c r="C211" s="13" t="s">
        <v>69</v>
      </c>
      <c r="D211" s="13" t="s">
        <v>12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0" t="s">
        <v>241</v>
      </c>
      <c r="B212" s="13" t="s">
        <v>110</v>
      </c>
      <c r="C212" s="13" t="s">
        <v>75</v>
      </c>
      <c r="D212" s="33">
        <f>E209/E2</f>
        <v>0.010312078713857422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0" t="s">
        <v>242</v>
      </c>
      <c r="B213" s="13" t="s">
        <v>108</v>
      </c>
      <c r="C213" s="13" t="s">
        <v>69</v>
      </c>
      <c r="D213" s="13" t="s">
        <v>48</v>
      </c>
      <c r="E213" s="15">
        <v>6177.48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0" t="s">
        <v>243</v>
      </c>
      <c r="B214" s="13" t="s">
        <v>109</v>
      </c>
      <c r="C214" s="13" t="s">
        <v>69</v>
      </c>
      <c r="D214" s="13" t="s">
        <v>27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0" t="s">
        <v>244</v>
      </c>
      <c r="B215" s="13" t="s">
        <v>66</v>
      </c>
      <c r="C215" s="13" t="s">
        <v>69</v>
      </c>
      <c r="D215" s="13" t="s">
        <v>12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0" t="s">
        <v>245</v>
      </c>
      <c r="B216" s="13" t="s">
        <v>110</v>
      </c>
      <c r="C216" s="13" t="s">
        <v>75</v>
      </c>
      <c r="D216" s="33">
        <f>E213/E2</f>
        <v>1.242978731966438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0"/>
      <c r="B217" s="13" t="s">
        <v>108</v>
      </c>
      <c r="C217" s="13" t="s">
        <v>69</v>
      </c>
      <c r="D217" s="33" t="s">
        <v>375</v>
      </c>
      <c r="E217" s="15">
        <f>4386.26+270.8</f>
        <v>4657.06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0"/>
      <c r="B218" s="13" t="s">
        <v>109</v>
      </c>
      <c r="C218" s="13" t="s">
        <v>69</v>
      </c>
      <c r="D218" s="33" t="s">
        <v>27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0"/>
      <c r="B219" s="13" t="s">
        <v>66</v>
      </c>
      <c r="C219" s="13" t="s">
        <v>69</v>
      </c>
      <c r="D219" s="33" t="s">
        <v>12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0"/>
      <c r="B220" s="13" t="s">
        <v>110</v>
      </c>
      <c r="C220" s="13" t="s">
        <v>75</v>
      </c>
      <c r="D220" s="33">
        <f>E217/E2</f>
        <v>0.9370530594176947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47.25">
      <c r="A221" s="26" t="s">
        <v>280</v>
      </c>
      <c r="B221" s="27" t="s">
        <v>106</v>
      </c>
      <c r="C221" s="27" t="s">
        <v>69</v>
      </c>
      <c r="D221" s="27" t="s">
        <v>49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8.75">
      <c r="A222" s="30" t="s">
        <v>246</v>
      </c>
      <c r="B222" s="13" t="s">
        <v>107</v>
      </c>
      <c r="C222" s="13" t="s">
        <v>75</v>
      </c>
      <c r="D222" s="13">
        <f>E223+E227+E231+E235+E239+E243+E247+E251+E255+E259</f>
        <v>2520.8900000000003</v>
      </c>
      <c r="E222" s="15"/>
      <c r="F222" s="37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0" t="s">
        <v>247</v>
      </c>
      <c r="B223" s="13" t="s">
        <v>108</v>
      </c>
      <c r="C223" s="13" t="s">
        <v>69</v>
      </c>
      <c r="D223" s="13" t="s">
        <v>50</v>
      </c>
      <c r="E223" s="15">
        <v>0</v>
      </c>
      <c r="F223" s="15" t="s">
        <v>377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0" t="s">
        <v>276</v>
      </c>
      <c r="B224" s="13" t="s">
        <v>109</v>
      </c>
      <c r="C224" s="13" t="s">
        <v>69</v>
      </c>
      <c r="D224" s="13" t="s">
        <v>27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0" t="s">
        <v>248</v>
      </c>
      <c r="B225" s="13" t="s">
        <v>66</v>
      </c>
      <c r="C225" s="13" t="s">
        <v>69</v>
      </c>
      <c r="D225" s="13" t="s">
        <v>12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0" t="s">
        <v>249</v>
      </c>
      <c r="B226" s="13" t="s">
        <v>110</v>
      </c>
      <c r="C226" s="13" t="s">
        <v>75</v>
      </c>
      <c r="D226" s="13"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0" t="s">
        <v>250</v>
      </c>
      <c r="B227" s="13" t="s">
        <v>108</v>
      </c>
      <c r="C227" s="13" t="s">
        <v>69</v>
      </c>
      <c r="D227" s="13" t="s">
        <v>52</v>
      </c>
      <c r="E227" s="15">
        <v>2143.61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0" t="s">
        <v>251</v>
      </c>
      <c r="B228" s="13" t="s">
        <v>109</v>
      </c>
      <c r="C228" s="13" t="s">
        <v>69</v>
      </c>
      <c r="D228" s="13" t="s">
        <v>27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0" t="s">
        <v>252</v>
      </c>
      <c r="B229" s="13" t="s">
        <v>66</v>
      </c>
      <c r="C229" s="13" t="s">
        <v>69</v>
      </c>
      <c r="D229" s="13" t="s">
        <v>12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0" t="s">
        <v>253</v>
      </c>
      <c r="B230" s="13" t="s">
        <v>110</v>
      </c>
      <c r="C230" s="13" t="s">
        <v>75</v>
      </c>
      <c r="D230" s="33">
        <f>E227/E2</f>
        <v>0.43131853759633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0" t="s">
        <v>254</v>
      </c>
      <c r="B231" s="13" t="s">
        <v>108</v>
      </c>
      <c r="C231" s="13" t="s">
        <v>69</v>
      </c>
      <c r="D231" s="13" t="s">
        <v>51</v>
      </c>
      <c r="E231" s="15"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0" t="s">
        <v>255</v>
      </c>
      <c r="B232" s="13" t="s">
        <v>109</v>
      </c>
      <c r="C232" s="13" t="s">
        <v>69</v>
      </c>
      <c r="D232" s="13" t="s">
        <v>27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0" t="s">
        <v>256</v>
      </c>
      <c r="B233" s="13" t="s">
        <v>66</v>
      </c>
      <c r="C233" s="13" t="s">
        <v>69</v>
      </c>
      <c r="D233" s="13" t="s">
        <v>12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0" t="s">
        <v>257</v>
      </c>
      <c r="B234" s="13" t="s">
        <v>110</v>
      </c>
      <c r="C234" s="13" t="s">
        <v>75</v>
      </c>
      <c r="D234" s="13"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0" t="s">
        <v>258</v>
      </c>
      <c r="B235" s="13" t="s">
        <v>108</v>
      </c>
      <c r="C235" s="13" t="s">
        <v>69</v>
      </c>
      <c r="D235" s="13" t="s">
        <v>281</v>
      </c>
      <c r="E235" s="15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0" t="s">
        <v>259</v>
      </c>
      <c r="B236" s="13" t="s">
        <v>109</v>
      </c>
      <c r="C236" s="13" t="s">
        <v>69</v>
      </c>
      <c r="D236" s="13" t="s">
        <v>27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0" t="s">
        <v>260</v>
      </c>
      <c r="B237" s="13" t="s">
        <v>66</v>
      </c>
      <c r="C237" s="13" t="s">
        <v>69</v>
      </c>
      <c r="D237" s="13" t="s">
        <v>12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0" t="s">
        <v>261</v>
      </c>
      <c r="B238" s="13" t="s">
        <v>110</v>
      </c>
      <c r="C238" s="13" t="s">
        <v>75</v>
      </c>
      <c r="D238" s="13"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0" t="s">
        <v>262</v>
      </c>
      <c r="B239" s="13" t="s">
        <v>108</v>
      </c>
      <c r="C239" s="13" t="s">
        <v>69</v>
      </c>
      <c r="D239" s="13" t="s">
        <v>333</v>
      </c>
      <c r="E239" s="15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0" t="s">
        <v>263</v>
      </c>
      <c r="B240" s="13" t="s">
        <v>109</v>
      </c>
      <c r="C240" s="13" t="s">
        <v>69</v>
      </c>
      <c r="D240" s="13" t="s">
        <v>27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0" t="s">
        <v>264</v>
      </c>
      <c r="B241" s="13" t="s">
        <v>66</v>
      </c>
      <c r="C241" s="13" t="s">
        <v>69</v>
      </c>
      <c r="D241" s="13" t="s">
        <v>12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0" t="s">
        <v>265</v>
      </c>
      <c r="B242" s="13" t="s">
        <v>110</v>
      </c>
      <c r="C242" s="13" t="s">
        <v>75</v>
      </c>
      <c r="D242" s="33">
        <f>E239/E2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0" t="s">
        <v>266</v>
      </c>
      <c r="B243" s="13" t="s">
        <v>108</v>
      </c>
      <c r="C243" s="13" t="s">
        <v>69</v>
      </c>
      <c r="D243" s="13" t="s">
        <v>1</v>
      </c>
      <c r="E243" s="15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0" t="s">
        <v>267</v>
      </c>
      <c r="B244" s="13" t="s">
        <v>109</v>
      </c>
      <c r="C244" s="13" t="s">
        <v>69</v>
      </c>
      <c r="D244" s="13" t="s">
        <v>27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0" t="s">
        <v>268</v>
      </c>
      <c r="B245" s="13" t="s">
        <v>66</v>
      </c>
      <c r="C245" s="13" t="s">
        <v>69</v>
      </c>
      <c r="D245" s="13" t="s">
        <v>12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0" t="s">
        <v>269</v>
      </c>
      <c r="B246" s="13" t="s">
        <v>110</v>
      </c>
      <c r="C246" s="13" t="s">
        <v>75</v>
      </c>
      <c r="D246" s="33">
        <f>E243/E2</f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0" t="s">
        <v>270</v>
      </c>
      <c r="B247" s="13" t="s">
        <v>108</v>
      </c>
      <c r="C247" s="13" t="s">
        <v>69</v>
      </c>
      <c r="D247" s="13" t="s">
        <v>0</v>
      </c>
      <c r="E247" s="15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0" t="s">
        <v>271</v>
      </c>
      <c r="B248" s="13" t="s">
        <v>109</v>
      </c>
      <c r="C248" s="13" t="s">
        <v>69</v>
      </c>
      <c r="D248" s="13" t="s">
        <v>27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0" t="s">
        <v>272</v>
      </c>
      <c r="B249" s="13" t="s">
        <v>66</v>
      </c>
      <c r="C249" s="13" t="s">
        <v>69</v>
      </c>
      <c r="D249" s="13" t="s">
        <v>12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0" t="s">
        <v>273</v>
      </c>
      <c r="B250" s="13" t="s">
        <v>110</v>
      </c>
      <c r="C250" s="13" t="s">
        <v>75</v>
      </c>
      <c r="D250" s="33">
        <f>E247/E2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0" t="s">
        <v>275</v>
      </c>
      <c r="B251" s="13" t="s">
        <v>108</v>
      </c>
      <c r="C251" s="13" t="s">
        <v>69</v>
      </c>
      <c r="D251" s="13" t="s">
        <v>53</v>
      </c>
      <c r="E251" s="15">
        <v>0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0" t="s">
        <v>277</v>
      </c>
      <c r="B252" s="13" t="s">
        <v>109</v>
      </c>
      <c r="C252" s="13" t="s">
        <v>69</v>
      </c>
      <c r="D252" s="13" t="s">
        <v>27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0" t="s">
        <v>278</v>
      </c>
      <c r="B253" s="13" t="s">
        <v>66</v>
      </c>
      <c r="C253" s="13" t="s">
        <v>69</v>
      </c>
      <c r="D253" s="13" t="s">
        <v>12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0" t="s">
        <v>279</v>
      </c>
      <c r="B254" s="13" t="s">
        <v>110</v>
      </c>
      <c r="C254" s="13" t="s">
        <v>75</v>
      </c>
      <c r="D254" s="33">
        <f>E251/E2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31.5">
      <c r="A255" s="30" t="s">
        <v>282</v>
      </c>
      <c r="B255" s="13" t="s">
        <v>108</v>
      </c>
      <c r="C255" s="13" t="s">
        <v>69</v>
      </c>
      <c r="D255" s="13" t="s">
        <v>54</v>
      </c>
      <c r="E255" s="15"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0" t="s">
        <v>283</v>
      </c>
      <c r="B256" s="13" t="s">
        <v>109</v>
      </c>
      <c r="C256" s="13" t="s">
        <v>69</v>
      </c>
      <c r="D256" s="13" t="s">
        <v>27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15.75">
      <c r="A257" s="30" t="s">
        <v>284</v>
      </c>
      <c r="B257" s="13" t="s">
        <v>66</v>
      </c>
      <c r="C257" s="13" t="s">
        <v>69</v>
      </c>
      <c r="D257" s="13" t="s">
        <v>12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5.75">
      <c r="A258" s="30" t="s">
        <v>285</v>
      </c>
      <c r="B258" s="13" t="s">
        <v>110</v>
      </c>
      <c r="C258" s="13" t="s">
        <v>75</v>
      </c>
      <c r="D258" s="33">
        <f>E255/E2</f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0" t="s">
        <v>369</v>
      </c>
      <c r="B259" s="13" t="s">
        <v>108</v>
      </c>
      <c r="C259" s="13" t="s">
        <v>69</v>
      </c>
      <c r="D259" s="13" t="s">
        <v>55</v>
      </c>
      <c r="E259" s="15">
        <v>377.28</v>
      </c>
      <c r="F259" s="15" t="s">
        <v>328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0" t="s">
        <v>370</v>
      </c>
      <c r="B260" s="13" t="s">
        <v>109</v>
      </c>
      <c r="C260" s="13" t="s">
        <v>69</v>
      </c>
      <c r="D260" s="13" t="s">
        <v>27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0" t="s">
        <v>371</v>
      </c>
      <c r="B261" s="13" t="s">
        <v>66</v>
      </c>
      <c r="C261" s="13" t="s">
        <v>69</v>
      </c>
      <c r="D261" s="13" t="s">
        <v>318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0" t="s">
        <v>372</v>
      </c>
      <c r="B262" s="13" t="s">
        <v>110</v>
      </c>
      <c r="C262" s="13" t="s">
        <v>75</v>
      </c>
      <c r="D262" s="33">
        <f>E259/E2</f>
        <v>0.07591299623734885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15.75">
      <c r="A263" s="30"/>
      <c r="B263" s="27" t="s">
        <v>274</v>
      </c>
      <c r="C263" s="13" t="s">
        <v>75</v>
      </c>
      <c r="D263" s="38">
        <f>SUM(D98,D28,D34,D68,D74,D80,D86,D92,D108,D118,D176,D222)</f>
        <v>221922.35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4" ht="15.75">
      <c r="A264" s="47" t="s">
        <v>286</v>
      </c>
      <c r="B264" s="47"/>
      <c r="C264" s="47"/>
      <c r="D264" s="47"/>
    </row>
    <row r="265" spans="1:4" ht="15.75">
      <c r="A265" s="11" t="s">
        <v>287</v>
      </c>
      <c r="B265" s="12" t="s">
        <v>288</v>
      </c>
      <c r="C265" s="12" t="s">
        <v>289</v>
      </c>
      <c r="D265" s="12">
        <v>1</v>
      </c>
    </row>
    <row r="266" spans="1:4" ht="15.75">
      <c r="A266" s="11" t="s">
        <v>290</v>
      </c>
      <c r="B266" s="12" t="s">
        <v>291</v>
      </c>
      <c r="C266" s="12" t="s">
        <v>289</v>
      </c>
      <c r="D266" s="12">
        <v>1</v>
      </c>
    </row>
    <row r="267" spans="1:4" ht="31.5">
      <c r="A267" s="11" t="s">
        <v>292</v>
      </c>
      <c r="B267" s="12" t="s">
        <v>293</v>
      </c>
      <c r="C267" s="12" t="s">
        <v>289</v>
      </c>
      <c r="D267" s="12">
        <v>0</v>
      </c>
    </row>
    <row r="268" spans="1:4" ht="15.75">
      <c r="A268" s="11" t="s">
        <v>294</v>
      </c>
      <c r="B268" s="12" t="s">
        <v>295</v>
      </c>
      <c r="C268" s="12" t="s">
        <v>75</v>
      </c>
      <c r="D268" s="12">
        <v>-27704.36</v>
      </c>
    </row>
    <row r="269" spans="1:4" ht="15.75">
      <c r="A269" s="47" t="s">
        <v>296</v>
      </c>
      <c r="B269" s="47"/>
      <c r="C269" s="47"/>
      <c r="D269" s="47"/>
    </row>
    <row r="270" spans="1:4" ht="15.75">
      <c r="A270" s="11" t="s">
        <v>297</v>
      </c>
      <c r="B270" s="12" t="s">
        <v>74</v>
      </c>
      <c r="C270" s="12" t="s">
        <v>75</v>
      </c>
      <c r="D270" s="12">
        <v>0</v>
      </c>
    </row>
    <row r="271" spans="1:4" ht="31.5">
      <c r="A271" s="11" t="s">
        <v>298</v>
      </c>
      <c r="B271" s="12" t="s">
        <v>76</v>
      </c>
      <c r="C271" s="12" t="s">
        <v>75</v>
      </c>
      <c r="D271" s="12">
        <v>0</v>
      </c>
    </row>
    <row r="272" spans="1:4" ht="15.75">
      <c r="A272" s="11" t="s">
        <v>299</v>
      </c>
      <c r="B272" s="12" t="s">
        <v>78</v>
      </c>
      <c r="C272" s="12" t="s">
        <v>75</v>
      </c>
      <c r="D272" s="12">
        <v>0</v>
      </c>
    </row>
    <row r="273" spans="1:4" ht="15.75">
      <c r="A273" s="11" t="s">
        <v>300</v>
      </c>
      <c r="B273" s="12" t="s">
        <v>101</v>
      </c>
      <c r="C273" s="12" t="s">
        <v>75</v>
      </c>
      <c r="D273" s="12">
        <v>0</v>
      </c>
    </row>
    <row r="274" spans="1:4" ht="31.5">
      <c r="A274" s="11" t="s">
        <v>301</v>
      </c>
      <c r="B274" s="12" t="s">
        <v>302</v>
      </c>
      <c r="C274" s="12" t="s">
        <v>75</v>
      </c>
      <c r="D274" s="12">
        <v>0</v>
      </c>
    </row>
    <row r="275" spans="1:4" ht="15.75">
      <c r="A275" s="11" t="s">
        <v>303</v>
      </c>
      <c r="B275" s="12" t="s">
        <v>103</v>
      </c>
      <c r="C275" s="12" t="s">
        <v>75</v>
      </c>
      <c r="D275" s="12">
        <v>0</v>
      </c>
    </row>
    <row r="276" spans="1:4" ht="15.75">
      <c r="A276" s="47" t="s">
        <v>304</v>
      </c>
      <c r="B276" s="47"/>
      <c r="C276" s="47"/>
      <c r="D276" s="47"/>
    </row>
    <row r="277" spans="1:4" ht="15.75">
      <c r="A277" s="11" t="s">
        <v>305</v>
      </c>
      <c r="B277" s="12" t="s">
        <v>288</v>
      </c>
      <c r="C277" s="12" t="s">
        <v>289</v>
      </c>
      <c r="D277" s="12">
        <v>0</v>
      </c>
    </row>
    <row r="278" spans="1:4" ht="15.75">
      <c r="A278" s="11" t="s">
        <v>306</v>
      </c>
      <c r="B278" s="12" t="s">
        <v>291</v>
      </c>
      <c r="C278" s="12" t="s">
        <v>289</v>
      </c>
      <c r="D278" s="12">
        <v>0</v>
      </c>
    </row>
    <row r="279" spans="1:4" ht="15.75">
      <c r="A279" s="11" t="s">
        <v>307</v>
      </c>
      <c r="B279" s="12" t="s">
        <v>308</v>
      </c>
      <c r="C279" s="12" t="s">
        <v>289</v>
      </c>
      <c r="D279" s="12">
        <v>0</v>
      </c>
    </row>
    <row r="280" spans="1:4" ht="15.75">
      <c r="A280" s="11" t="s">
        <v>309</v>
      </c>
      <c r="B280" s="12" t="s">
        <v>295</v>
      </c>
      <c r="C280" s="12" t="s">
        <v>75</v>
      </c>
      <c r="D280" s="12">
        <v>0</v>
      </c>
    </row>
    <row r="281" spans="1:4" ht="15.75">
      <c r="A281" s="47" t="s">
        <v>310</v>
      </c>
      <c r="B281" s="47"/>
      <c r="C281" s="47"/>
      <c r="D281" s="47"/>
    </row>
    <row r="282" spans="1:4" ht="15.75">
      <c r="A282" s="11" t="s">
        <v>311</v>
      </c>
      <c r="B282" s="12" t="s">
        <v>312</v>
      </c>
      <c r="C282" s="12" t="s">
        <v>289</v>
      </c>
      <c r="D282" s="12">
        <v>0</v>
      </c>
    </row>
    <row r="283" spans="1:4" ht="15.75">
      <c r="A283" s="11" t="s">
        <v>313</v>
      </c>
      <c r="B283" s="12" t="s">
        <v>314</v>
      </c>
      <c r="C283" s="12" t="s">
        <v>289</v>
      </c>
      <c r="D283" s="12">
        <v>0</v>
      </c>
    </row>
    <row r="284" spans="1:4" ht="31.5">
      <c r="A284" s="11" t="s">
        <v>315</v>
      </c>
      <c r="B284" s="12" t="s">
        <v>316</v>
      </c>
      <c r="C284" s="12" t="s">
        <v>75</v>
      </c>
      <c r="D284" s="12">
        <v>0</v>
      </c>
    </row>
  </sheetData>
  <sheetProtection/>
  <mergeCells count="8">
    <mergeCell ref="F109:F110"/>
    <mergeCell ref="A281:D281"/>
    <mergeCell ref="A2:D2"/>
    <mergeCell ref="A26:D26"/>
    <mergeCell ref="A8:D8"/>
    <mergeCell ref="A264:D264"/>
    <mergeCell ref="A269:D269"/>
    <mergeCell ref="A276:D27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2017-04-10T07:55:45Z</cp:lastPrinted>
  <dcterms:created xsi:type="dcterms:W3CDTF">2010-07-19T21:32:50Z</dcterms:created>
  <dcterms:modified xsi:type="dcterms:W3CDTF">2020-03-26T13:15:49Z</dcterms:modified>
  <cp:category/>
  <cp:version/>
  <cp:contentType/>
  <cp:contentStatus/>
</cp:coreProperties>
</file>