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'по форме'!$A$1:$I$296</definedName>
  </definedNames>
  <calcPr fullCalcOnLoad="1"/>
</workbook>
</file>

<file path=xl/sharedStrings.xml><?xml version="1.0" encoding="utf-8"?>
<sst xmlns="http://schemas.openxmlformats.org/spreadsheetml/2006/main" count="985" uniqueCount="341">
  <si>
    <t>Вывоз ТБО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</si>
  <si>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</si>
  <si>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</si>
  <si>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</si>
  <si>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</si>
  <si>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6 раз в неделю</t>
  </si>
  <si>
    <t>ежедневно</t>
  </si>
  <si>
    <t>шт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</si>
  <si>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</si>
  <si>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</si>
  <si>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</si>
  <si>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</si>
  <si>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</si>
  <si>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 раз в неделю</t>
  </si>
  <si>
    <t>1 раз в неделю</t>
  </si>
  <si>
    <t>3 раза в неделю</t>
  </si>
  <si>
    <t>Вывоз листвы с придомовой территории(весна,осень)</t>
  </si>
  <si>
    <t>2 раза в год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</si>
  <si>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</si>
  <si>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</si>
  <si>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</si>
  <si>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</si>
  <si>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</si>
  <si>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</si>
  <si>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</si>
  <si>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</si>
  <si>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</si>
  <si>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</si>
  <si>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</si>
  <si>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</si>
  <si>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</si>
  <si>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</si>
  <si>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</si>
  <si>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</si>
  <si>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</si>
  <si>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</si>
  <si>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</si>
  <si>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</si>
  <si>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</si>
  <si>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</si>
  <si>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</si>
  <si>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</si>
  <si>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</si>
  <si>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</si>
  <si>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</si>
  <si>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</si>
  <si>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</si>
  <si>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</si>
  <si>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</si>
  <si>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</si>
  <si>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</si>
  <si>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</si>
  <si>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</si>
  <si>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</si>
  <si>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</si>
  <si>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</si>
  <si>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</si>
  <si>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</si>
  <si>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</si>
  <si>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</si>
  <si>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</si>
  <si>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</si>
  <si>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</si>
  <si>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</si>
  <si>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</si>
  <si>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</si>
  <si>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</si>
  <si>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</si>
  <si>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</si>
  <si>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</si>
  <si>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</si>
  <si>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</si>
  <si>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</si>
  <si>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</si>
  <si>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</si>
  <si>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</si>
  <si>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</si>
  <si>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</si>
  <si>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</si>
  <si>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</si>
  <si>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</si>
  <si>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</si>
  <si>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</si>
  <si>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</si>
  <si>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</si>
  <si>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</si>
  <si>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</si>
  <si>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</si>
  <si>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</si>
  <si>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</si>
  <si>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</si>
  <si>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</si>
  <si>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</si>
  <si>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</si>
  <si>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</si>
  <si>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</si>
  <si>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1 раз в год</t>
  </si>
  <si>
    <t>21.9</t>
  </si>
  <si>
    <t>22.9</t>
  </si>
  <si>
    <t>23.9</t>
  </si>
  <si>
    <t>24.9</t>
  </si>
  <si>
    <t>25.9</t>
  </si>
  <si>
    <t>26.9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</si>
  <si>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</si>
  <si>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</si>
  <si>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</si>
  <si>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</si>
  <si>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</si>
  <si>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</si>
  <si>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</si>
  <si>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</si>
  <si>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</si>
  <si>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</si>
  <si>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</si>
  <si>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</si>
  <si>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</si>
  <si>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</si>
  <si>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</si>
  <si>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</si>
  <si>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</si>
  <si>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</si>
  <si>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</si>
  <si>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</si>
  <si>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</si>
  <si>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</si>
  <si>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</si>
  <si>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</si>
  <si>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</si>
  <si>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</si>
  <si>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</si>
  <si>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</si>
  <si>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</si>
  <si>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</si>
  <si>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</si>
  <si>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</si>
  <si>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</si>
  <si>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</si>
  <si>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</si>
  <si>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</si>
  <si>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</si>
  <si>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</si>
  <si>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</si>
  <si>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</si>
  <si>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</si>
  <si>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</si>
  <si>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</si>
  <si>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</si>
  <si>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</si>
  <si>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</si>
  <si>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</si>
  <si>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</si>
  <si>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</si>
  <si>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</si>
  <si>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</si>
  <si>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</si>
  <si>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</si>
  <si>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</si>
  <si>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</si>
  <si>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</si>
  <si>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</si>
  <si>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</si>
  <si>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</si>
  <si>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</si>
  <si>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</si>
  <si>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</si>
  <si>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24.13.6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</si>
  <si>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</si>
  <si>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</si>
  <si>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</si>
  <si>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</si>
  <si>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</si>
  <si>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</si>
  <si>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</si>
  <si>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</si>
  <si>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</si>
  <si>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</si>
  <si>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</si>
  <si>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</si>
  <si>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</si>
  <si>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</si>
  <si>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</si>
  <si>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</si>
  <si>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</si>
  <si>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</si>
  <si>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</si>
  <si>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</si>
  <si>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</si>
  <si>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</si>
  <si>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</si>
  <si>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</si>
  <si>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</si>
  <si>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</si>
  <si>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</si>
  <si>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</si>
  <si>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24.14.1</t>
  </si>
  <si>
    <t>21.14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</si>
  <si>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</si>
  <si>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</si>
  <si>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</si>
  <si>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</si>
  <si>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</si>
  <si>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</si>
  <si>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</si>
  <si>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</si>
  <si>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</si>
  <si>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</si>
  <si>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</si>
  <si>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</si>
  <si>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</si>
  <si>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</si>
  <si>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</si>
  <si>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</si>
  <si>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</si>
  <si>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</si>
  <si>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</si>
  <si>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</si>
  <si>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</si>
  <si>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</si>
  <si>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</si>
  <si>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</si>
  <si>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</si>
  <si>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</si>
  <si>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</si>
  <si>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</si>
  <si>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</si>
  <si>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</si>
  <si>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</si>
  <si>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</si>
  <si>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</si>
  <si>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</si>
  <si>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</si>
  <si>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</si>
  <si>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стоимость</t>
  </si>
  <si>
    <t>Очистка урн от мусора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</si>
  <si>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</si>
  <si>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</si>
  <si>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</si>
  <si>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</si>
  <si>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</si>
  <si>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</si>
  <si>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</si>
  <si>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</si>
  <si>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</si>
  <si>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</si>
  <si>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</si>
  <si>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</si>
  <si>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</si>
  <si>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</si>
  <si>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</si>
  <si>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</si>
  <si>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</si>
  <si>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</si>
  <si>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</si>
  <si>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</si>
  <si>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</si>
  <si>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23.12.12</t>
  </si>
  <si>
    <t>24.12.12</t>
  </si>
  <si>
    <t>25.12.12</t>
  </si>
  <si>
    <t>26.12.12</t>
  </si>
  <si>
    <t>23.14.10</t>
  </si>
  <si>
    <t>24.14.10</t>
  </si>
  <si>
    <t>25.14.10</t>
  </si>
  <si>
    <t>26.14.10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</si>
  <si>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</si>
  <si>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</si>
  <si>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ТЕК.РЕМ.</t>
  </si>
  <si>
    <t>факт</t>
  </si>
  <si>
    <t>Проведение технических осмотров и устранение незначительных неисправностей в системе вентиляции</t>
  </si>
  <si>
    <t>3 раза в год</t>
  </si>
  <si>
    <t>в течение года</t>
  </si>
  <si>
    <t>Ремонт вентиляционных (дымовых) каналов</t>
  </si>
  <si>
    <t>Снятие показаний приборов учета потребления электроэнергии (общедомовые)</t>
  </si>
  <si>
    <t>Замена осветительных лампочек помещений общего пользования</t>
  </si>
  <si>
    <t>Техническое обслуживание внутридомового газового оборудования</t>
  </si>
  <si>
    <t>Организация системы диспетчерского контроля и обеспечение диспетчерской связи с кабиной лифта; обеспечение проведения осмотров, технического обслуживания и ремонт лифтов, обеспечение проведения аварийного обслуживания лифтов</t>
  </si>
  <si>
    <t>Периодическое техническое освидетельствование лифта</t>
  </si>
  <si>
    <t>Содержание водоотводящих устройств</t>
  </si>
  <si>
    <t>Текущий ремонт детских площадок и малых форм</t>
  </si>
  <si>
    <t>Влажное подметание лестничных площадок и маршей, коридоры и тамбура выше 3го этажа</t>
  </si>
  <si>
    <t>Уборка мусороприемных камер (влажное подметание)</t>
  </si>
  <si>
    <t>Подметание полов кабин лифта и влажная уборка</t>
  </si>
  <si>
    <t>Протирка стен, дверей в кабине лифта</t>
  </si>
  <si>
    <t>Обметание пыли с потолков</t>
  </si>
  <si>
    <t>4 раза в год</t>
  </si>
  <si>
    <t xml:space="preserve">Дезинсекция </t>
  </si>
  <si>
    <t>Вывоз крупногабаритного мусора</t>
  </si>
  <si>
    <t>Аварийное обслуживание</t>
  </si>
  <si>
    <t xml:space="preserve">Дератизация </t>
  </si>
  <si>
    <t>Подметание ступенек и площадок</t>
  </si>
  <si>
    <t>Сдвижка и подметание снега при отсутствии снегопада вручную</t>
  </si>
  <si>
    <t xml:space="preserve">Уборка мусора на контейнерной площадке </t>
  </si>
  <si>
    <t>Уборка от случайного мусора асфальтового покрытия, грунта, газонов</t>
  </si>
  <si>
    <t>Уборка  газонов от листьев, сучьев, мусора</t>
  </si>
  <si>
    <t>Сдвижка  снега при  снегопаде вручную</t>
  </si>
  <si>
    <t xml:space="preserve">Посыпка территории пескосоляной смесью </t>
  </si>
  <si>
    <t>Подметание вручную асфальтового покрытия</t>
  </si>
  <si>
    <t>Ликвидация наледи</t>
  </si>
  <si>
    <t>Выкашивание газонов</t>
  </si>
  <si>
    <t>тарифы общее по месяцам правильный</t>
  </si>
  <si>
    <t>Осмотр технического состояния конструктивных элементов жилого дома</t>
  </si>
  <si>
    <t>Очистка металлической решетки и приямка от грязи</t>
  </si>
  <si>
    <t>Мытьё полов (лестничные площадки и марши, коридоры, тамбура) выше 3 этажа</t>
  </si>
  <si>
    <t>Герметизация,теплоизоляция панельных швов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</si>
  <si>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</si>
  <si>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</si>
  <si>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</si>
  <si>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в период 2018 г. по дому № 3  ул. Плеханова в г. Липецке</t>
  </si>
  <si>
    <t>Влажная протирка элеменотв лестничной клетки</t>
  </si>
  <si>
    <t xml:space="preserve">Мытье окон лестничных клеток </t>
  </si>
  <si>
    <t>Удаление мусора и влажная уборка полов мусороприемных камер</t>
  </si>
  <si>
    <t>Мытье и протирка закрывающих устройств мусоропровода</t>
  </si>
  <si>
    <t>10 раз в год</t>
  </si>
  <si>
    <t>48 раз в год</t>
  </si>
  <si>
    <t>Очистка территории от уплотненного снега скребком</t>
  </si>
  <si>
    <t>32 раза в год</t>
  </si>
  <si>
    <t>Механизированная уборка свежевыпавшего снега толщина слоя свыше 2 см</t>
  </si>
  <si>
    <t>40 раз в год</t>
  </si>
  <si>
    <t>25 раз в год</t>
  </si>
  <si>
    <t>ежедневно кроме воскресных и праздничных дней</t>
  </si>
  <si>
    <t>Влажное подметание лестничных площадок и маршей, тамбура</t>
  </si>
  <si>
    <t>Мытье полов лестничных площадок, маршей, тамбура</t>
  </si>
  <si>
    <t>в тарифе с 01.09 нет обслужив газ оборудования</t>
  </si>
  <si>
    <t>1 раз в месяц</t>
  </si>
  <si>
    <t>Поверка счетчика потребления холодной воды</t>
  </si>
  <si>
    <t>Осмотр линий электрических сетей, арматуры и электрооборудования. Проверка состояния линий электрических сетей и арматуры, групповых распределительных предохранительных щитов и переходных коробок, силовых установок на лестничных клетках</t>
  </si>
  <si>
    <t>Техническое обслуживание общедомовых счетчиков потребления холодной воды</t>
  </si>
  <si>
    <t>Техническое обслуживание СТЭ. Снятие показаний счетчика ГВС</t>
  </si>
  <si>
    <t>Проверка исправности, работоспособности, регулировка, консервация системы отопления и техническое обслуживание запорной арматуры и разводящих трубопроводов и оборудования в местах общего пользования.Удаление воздуха из системы отопления (в отопительный период).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систем. Проведение пробных пусконаладочных работ (пробные топки). Контроль состояния и восстановление исправности элементов внутренней канализации.</t>
  </si>
  <si>
    <t>в течении года</t>
  </si>
  <si>
    <t>Очистка кровли и водоотводящих устройств от мусора, грязи и наледи, препятствующих стоку дождевых и талых вод</t>
  </si>
  <si>
    <t>Технический осмотр элементов кровли</t>
  </si>
  <si>
    <t>Осмотры каменных стен фундаментов и фасадов зданий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</si>
  <si>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оборудованию-устранение выявленных нарушений</t>
  </si>
  <si>
    <t>Осмотры заполнений дверных и оконных проемов, лестниц. При выявлении повреждений и нарушений-разработка плана восстановительных работия</t>
  </si>
  <si>
    <t>Осмотры перекрытий</t>
  </si>
  <si>
    <t>Прочая работа (услуга)</t>
  </si>
  <si>
    <t>Услуги расчетного центра</t>
  </si>
  <si>
    <t>Работы (услуги) по управлению многоквартирным домом</t>
  </si>
  <si>
    <t>Услуги УК</t>
  </si>
  <si>
    <t>козырьки гревцева</t>
  </si>
  <si>
    <t xml:space="preserve">швы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</si>
</sst>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"/>
    <numFmt numFmtId="184" formatCode="0.0000000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184" fontId="47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177" fontId="47" fillId="0" borderId="0" xfId="0" applyNumberFormat="1" applyFont="1" applyFill="1" applyAlignment="1">
      <alignment horizontal="center" vertical="center" wrapText="1"/>
    </xf>
    <xf numFmtId="180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Alignment="1">
      <alignment horizontal="center" vertical="center" wrapText="1"/>
    </xf>
    <xf numFmtId="4" fontId="53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182" fontId="53" fillId="0" borderId="12" xfId="0" applyNumberFormat="1" applyFont="1" applyFill="1" applyBorder="1" applyAlignment="1">
      <alignment horizontal="center" vertical="center" wrapText="1"/>
    </xf>
    <xf numFmtId="180" fontId="47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91;&#1083;.%20&#1055;&#1083;&#1077;&#1093;&#1072;&#1085;&#1086;&#1074;&#1072;,%20&#1076;.%203%2001.01.18-31.08.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59;&#1050;\&#1055;&#1083;&#1077;&#1093;&#1072;&#1085;&#1086;&#1074;&#1072;,%203%20%20&#1048;&#1058;&#1054;&#1043;&#1048;\2.%20&#1048;&#1090;&#1086;&#1075;&#1080;%20&#1087;&#1086;%20&#1089;&#1072;&#1085;.&#1089;&#1086;&#1076;&#1077;&#1088;&#1078;&#1072;&#1085;&#1080;&#1102;%20&#1083;&#1077;&#1089;&#1090;&#1085;&#1080;&#1095;&#1085;&#1099;&#1093;%20&#1082;&#1083;&#1077;&#1090;&#1086;&#1082;%20&#1055;&#1083;&#1077;&#1093;&#1072;&#1085;&#1086;&#1074;&#1072;,%203%20%20&#1079;&#1072;%202018%20&#1075;.%20&#1059;&#1050;%20&#1079;&#1072;%2001.09.18-31.12.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59;&#1050;\&#1055;&#1083;&#1077;&#1093;&#1072;&#1085;&#1086;&#1074;&#1072;,%203%20%20&#1048;&#1058;&#1054;&#1043;&#1048;\4.%20&#1048;&#1090;&#1086;&#1075;&#1080;%20&#1087;&#1086;%20%20&#1089;&#1072;&#1085;.&#1089;&#1086;&#1076;&#1077;&#1088;&#1078;&#1072;&#1085;&#1080;&#1102;%20&#1084;&#1091;&#1089;&#1086;&#1088;&#1086;&#1087;&#1088;&#1086;&#1074;&#1086;&#1076;&#1072;%20&#1055;&#1083;&#1077;&#1093;&#1072;&#1085;&#1086;&#1074;&#1072;,%203%20%20&#1079;&#1072;%202018%20&#1075;.%20&#1059;&#1050;%2001.09.18-31.12.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8%20&#1059;&#105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59;&#1050;\&#1055;&#1083;&#1077;&#1093;&#1072;&#1085;&#1086;&#1074;&#1072;,%203%20%20&#1048;&#1058;&#1054;&#1043;&#1048;\1.%20&#1048;&#1090;&#1086;&#1075;&#1080;%20&#1087;&#1086;%20&#1091;&#1073;&#1086;&#1088;&#1082;&#1077;%20&#1076;&#1074;&#1086;&#1088;&#1086;&#1074;&#1086;&#1081;%20&#1090;&#1077;&#1088;&#1088;&#1080;&#1090;&#1086;&#1088;&#1080;&#1080;%20&#1055;&#1083;&#1077;&#1093;&#1074;&#1085;&#1086;&#1074;&#1072;,%203%20%20&#1079;&#1072;%202018%20&#1075;.%20&#1059;&#1050;%2001.09.18-31.12.1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59;&#1050;\&#1055;&#1083;&#1077;&#1093;&#1072;&#1085;&#1086;&#1074;&#1072;,%203%20%20&#1048;&#1058;&#1054;&#1043;&#1048;\3.%20&#1048;&#1090;&#1086;&#1075;&#1080;%20&#1087;&#1086;%20&#1089;&#1072;&#1085;.&#1089;&#1086;&#1076;&#1077;&#1088;&#1078;&#1072;&#1085;&#1080;&#1102;%20&#1083;&#1080;&#1092;&#1090;&#1086;&#1074;%20&#1055;&#1083;&#1077;&#1093;&#1072;&#1085;&#1086;&#1074;&#1072;,3%20%20&#1079;&#1072;%202018%20&#1075;.%20&#1059;&#1050;%20%2001.09.18-31.12.18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8">
          <cell r="DC8">
            <v>436803.57863999996</v>
          </cell>
        </row>
        <row r="11">
          <cell r="DC11">
            <v>25454.754</v>
          </cell>
        </row>
        <row r="13">
          <cell r="DC13">
            <v>25454.754</v>
          </cell>
        </row>
        <row r="27">
          <cell r="DC27">
            <v>678.79344</v>
          </cell>
        </row>
        <row r="32">
          <cell r="DC32">
            <v>28000.229400000004</v>
          </cell>
        </row>
        <row r="37">
          <cell r="DC37">
            <v>15612.24912</v>
          </cell>
        </row>
        <row r="47">
          <cell r="DC47">
            <v>24775.96056</v>
          </cell>
        </row>
        <row r="48">
          <cell r="DC48">
            <v>66182.3604</v>
          </cell>
        </row>
        <row r="50">
          <cell r="DC50">
            <v>25794.15072</v>
          </cell>
        </row>
        <row r="51">
          <cell r="DC51">
            <v>5090.9508000000005</v>
          </cell>
        </row>
        <row r="52">
          <cell r="DC52">
            <v>35466.957239999996</v>
          </cell>
        </row>
        <row r="53">
          <cell r="DC53">
            <v>7975.8229200000005</v>
          </cell>
        </row>
        <row r="56">
          <cell r="DC56">
            <v>43782.17688</v>
          </cell>
        </row>
        <row r="57">
          <cell r="DC57">
            <v>128461.65852000001</v>
          </cell>
        </row>
        <row r="58">
          <cell r="DC58">
            <v>26812.340880000003</v>
          </cell>
        </row>
        <row r="59">
          <cell r="DC59">
            <v>13915.26552</v>
          </cell>
        </row>
        <row r="60">
          <cell r="DC60">
            <v>4072.7606400000004</v>
          </cell>
        </row>
        <row r="61">
          <cell r="DC61">
            <v>46497.350640000004</v>
          </cell>
        </row>
        <row r="62">
          <cell r="DC62">
            <v>5600.045880000001</v>
          </cell>
        </row>
        <row r="64">
          <cell r="DC64">
            <v>24945.658919999998</v>
          </cell>
        </row>
        <row r="67">
          <cell r="DC67">
            <v>5939.4426</v>
          </cell>
        </row>
        <row r="69">
          <cell r="DC69">
            <v>110134.23564</v>
          </cell>
        </row>
        <row r="72">
          <cell r="DC72">
            <v>2884.8721200000005</v>
          </cell>
        </row>
        <row r="73">
          <cell r="DC73">
            <v>2715.17376</v>
          </cell>
        </row>
        <row r="76">
          <cell r="DC76">
            <v>3733.36392</v>
          </cell>
        </row>
        <row r="78">
          <cell r="DC78">
            <v>10181.901600000001</v>
          </cell>
        </row>
        <row r="79">
          <cell r="DC79">
            <v>96218.97011999998</v>
          </cell>
        </row>
        <row r="80">
          <cell r="DC80">
            <v>147467.87484</v>
          </cell>
        </row>
        <row r="81">
          <cell r="DC81">
            <v>321069.29712</v>
          </cell>
        </row>
        <row r="84">
          <cell r="DC84">
            <v>435955.08684</v>
          </cell>
        </row>
        <row r="85">
          <cell r="DC85">
            <v>42763.98672</v>
          </cell>
        </row>
        <row r="86">
          <cell r="DC86">
            <v>9503.10816</v>
          </cell>
        </row>
        <row r="88">
          <cell r="DC88">
            <v>4242.459000000001</v>
          </cell>
        </row>
        <row r="91">
          <cell r="DC91">
            <v>120655.53396</v>
          </cell>
        </row>
        <row r="92">
          <cell r="DC92">
            <v>122352.51756000001</v>
          </cell>
        </row>
        <row r="93">
          <cell r="DC93">
            <v>1187.88852</v>
          </cell>
        </row>
        <row r="94">
          <cell r="DC94">
            <v>8315.21964</v>
          </cell>
        </row>
        <row r="95">
          <cell r="DC95">
            <v>4242.459000000001</v>
          </cell>
        </row>
        <row r="97">
          <cell r="DC97">
            <v>169.69836</v>
          </cell>
        </row>
        <row r="98">
          <cell r="DC98">
            <v>169.69836</v>
          </cell>
        </row>
        <row r="100">
          <cell r="DC100">
            <v>169.69836</v>
          </cell>
        </row>
        <row r="101">
          <cell r="DC101">
            <v>169.69836</v>
          </cell>
        </row>
        <row r="102">
          <cell r="DC102">
            <v>2715.17376</v>
          </cell>
        </row>
        <row r="103">
          <cell r="DC103">
            <v>169.69836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10125.29</v>
          </cell>
        </row>
        <row r="24">
          <cell r="D24">
            <v>-670949.5734843912</v>
          </cell>
        </row>
        <row r="25">
          <cell r="D25">
            <v>356738.79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J3">
            <v>14141.53</v>
          </cell>
        </row>
        <row r="37">
          <cell r="BJ37">
            <v>0.025022</v>
          </cell>
        </row>
        <row r="41">
          <cell r="BJ41">
            <v>0.03324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6">
          <cell r="V66">
            <v>47749.82</v>
          </cell>
          <cell r="W66">
            <v>4518.22</v>
          </cell>
          <cell r="Z66">
            <v>159773.79599999997</v>
          </cell>
          <cell r="AA66">
            <v>6</v>
          </cell>
          <cell r="AB66">
            <v>6</v>
          </cell>
          <cell r="AC66">
            <v>0</v>
          </cell>
          <cell r="AD66">
            <v>12918.1</v>
          </cell>
        </row>
        <row r="87">
          <cell r="M87">
            <v>297904.43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лажное подметание 1,2,3 эт."/>
      <sheetName val="Влажное подметание выше 3 эт."/>
      <sheetName val="Мытье полов 1,2,3 эт"/>
      <sheetName val="Мытье окон"/>
      <sheetName val="Обметание пыли"/>
    </sheetNames>
    <sheetDataSet>
      <sheetData sheetId="0">
        <row r="8">
          <cell r="DV8">
            <v>36428.581280000006</v>
          </cell>
        </row>
      </sheetData>
      <sheetData sheetId="1">
        <row r="8">
          <cell r="L8">
            <v>254.54754000000005</v>
          </cell>
        </row>
      </sheetData>
      <sheetData sheetId="2">
        <row r="8">
          <cell r="L8">
            <v>5090.9508</v>
          </cell>
        </row>
      </sheetData>
      <sheetData sheetId="4">
        <row r="8">
          <cell r="L8">
            <v>3224.2688399999997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даление мусора из м.п.к."/>
      <sheetName val="Мытье и протирка загр.клапанов"/>
    </sheetNames>
    <sheetDataSet>
      <sheetData sheetId="0">
        <row r="9">
          <cell r="HV9">
            <v>51701.43368</v>
          </cell>
        </row>
      </sheetData>
      <sheetData sheetId="1">
        <row r="9">
          <cell r="R9">
            <v>1527.28524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0">
        <row r="188">
          <cell r="K188">
            <v>3060.88</v>
          </cell>
        </row>
      </sheetData>
      <sheetData sheetId="1">
        <row r="190">
          <cell r="S190">
            <v>2649.1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171">
          <cell r="FW171">
            <v>354.69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дметание вручную асф.покрытия"/>
      <sheetName val="Уборка от случ.мусора асф.покр."/>
      <sheetName val="Уборка мусора на конт.площ."/>
      <sheetName val="Сдвиж снега при снегопаде вруч"/>
      <sheetName val="Ликвидация наледи"/>
      <sheetName val="Посыпка пескосоляной"/>
      <sheetName val="Сдвиж снега при отсутств снегоп"/>
      <sheetName val="Очистка метал решетки и приямка"/>
      <sheetName val="Уборка газонов от лист.сучьев"/>
    </sheetNames>
    <sheetDataSet>
      <sheetData sheetId="0">
        <row r="8">
          <cell r="BK8">
            <v>9156.97737809524</v>
          </cell>
        </row>
      </sheetData>
      <sheetData sheetId="1">
        <row r="8">
          <cell r="DV8">
            <v>42361.31571833333</v>
          </cell>
        </row>
      </sheetData>
      <sheetData sheetId="2">
        <row r="8">
          <cell r="HB8">
            <v>4864.686320000001</v>
          </cell>
        </row>
      </sheetData>
      <sheetData sheetId="3">
        <row r="8">
          <cell r="M8">
            <v>32344.507416</v>
          </cell>
        </row>
      </sheetData>
      <sheetData sheetId="4">
        <row r="8">
          <cell r="K8">
            <v>950.3108160000002</v>
          </cell>
        </row>
      </sheetData>
      <sheetData sheetId="5">
        <row r="8">
          <cell r="Q8">
            <v>12931.015032000001</v>
          </cell>
        </row>
      </sheetData>
      <sheetData sheetId="6">
        <row r="8">
          <cell r="R8">
            <v>1821.4290640000002</v>
          </cell>
        </row>
      </sheetData>
      <sheetData sheetId="7">
        <row r="8">
          <cell r="K8">
            <v>254.54754000000005</v>
          </cell>
        </row>
      </sheetData>
      <sheetData sheetId="8">
        <row r="8">
          <cell r="K8">
            <v>10181.9016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одметание полов,влаж уборка "/>
      <sheetName val="Протирка стен,дверей"/>
    </sheetNames>
    <sheetDataSet>
      <sheetData sheetId="0">
        <row r="10">
          <cell r="GL10">
            <v>3676.7978000000003</v>
          </cell>
        </row>
      </sheetData>
      <sheetData sheetId="1">
        <row r="10">
          <cell r="BD10">
            <v>1696.9836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9">
        <row r="15">
          <cell r="D15">
            <v>0.017</v>
          </cell>
        </row>
        <row r="18">
          <cell r="D18">
            <v>3.228</v>
          </cell>
        </row>
        <row r="44">
          <cell r="D44">
            <v>0.929</v>
          </cell>
        </row>
        <row r="45">
          <cell r="D45">
            <v>0.683</v>
          </cell>
        </row>
        <row r="46">
          <cell r="D46">
            <v>1.484</v>
          </cell>
        </row>
        <row r="65">
          <cell r="D65">
            <v>305287.34964000003</v>
          </cell>
        </row>
        <row r="66">
          <cell r="D66">
            <v>461013.878</v>
          </cell>
        </row>
        <row r="67">
          <cell r="D67">
            <v>83944.12208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6"/>
  <sheetViews>
    <sheetView tabSelected="1" view="pageBreakPreview" zoomScale="90" zoomScaleNormal="6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C217" sqref="C2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14.7109375" style="3" hidden="1" customWidth="1"/>
    <col min="9" max="9" width="18.7109375" style="3" hidden="1" customWidth="1"/>
    <col min="10" max="10" width="28.7109375" style="3" hidden="1" customWidth="1"/>
    <col min="11" max="11" width="21.57421875" style="3" hidden="1" customWidth="1"/>
    <col min="12" max="13" width="11.7109375" style="3" hidden="1" customWidth="1"/>
    <col min="14" max="15" width="0" style="3" hidden="1" customWidth="1"/>
    <col min="16" max="23" width="9.140625" style="3" customWidth="1"/>
    <col min="24" max="16384" width="9.140625" style="4" customWidth="1"/>
  </cols>
  <sheetData>
    <row r="1" spans="5:9" ht="15.75">
      <c r="E1" s="3" t="s">
        <v>231</v>
      </c>
      <c r="I1" s="3" t="s">
        <v>231</v>
      </c>
    </row>
    <row r="2" spans="1:23" s="6" customFormat="1" ht="80.25" customHeight="1">
      <c r="A2" s="49" t="s">
        <v>306</v>
      </c>
      <c r="B2" s="49"/>
      <c r="C2" s="49"/>
      <c r="D2" s="49"/>
      <c r="E2" s="5">
        <v>14141.53</v>
      </c>
      <c r="F2" s="5"/>
      <c r="G2" s="5" t="s">
        <v>298</v>
      </c>
      <c r="H2" s="5"/>
      <c r="I2" s="5">
        <v>14141.53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5.75">
      <c r="I3" s="3" t="s">
        <v>266</v>
      </c>
    </row>
    <row r="4" spans="1:4" ht="15.75">
      <c r="A4" s="7" t="s">
        <v>29</v>
      </c>
      <c r="B4" s="8" t="s">
        <v>30</v>
      </c>
      <c r="C4" s="8" t="s">
        <v>31</v>
      </c>
      <c r="D4" s="8" t="s">
        <v>32</v>
      </c>
    </row>
    <row r="5" spans="1:4" ht="15.75">
      <c r="A5" s="7" t="s">
        <v>35</v>
      </c>
      <c r="B5" s="8" t="s">
        <v>33</v>
      </c>
      <c r="C5" s="8" t="s">
        <v>34</v>
      </c>
      <c r="D5" s="9" t="s">
        <v>303</v>
      </c>
    </row>
    <row r="6" spans="1:4" ht="15.75">
      <c r="A6" s="7" t="s">
        <v>36</v>
      </c>
      <c r="B6" s="8" t="s">
        <v>37</v>
      </c>
      <c r="C6" s="8" t="s">
        <v>34</v>
      </c>
      <c r="D6" s="9" t="s">
        <v>304</v>
      </c>
    </row>
    <row r="7" spans="1:4" ht="15.75">
      <c r="A7" s="7" t="s">
        <v>23</v>
      </c>
      <c r="B7" s="8" t="s">
        <v>38</v>
      </c>
      <c r="C7" s="8" t="s">
        <v>34</v>
      </c>
      <c r="D7" s="9" t="s">
        <v>305</v>
      </c>
    </row>
    <row r="8" spans="1:4" ht="42.75" customHeight="1">
      <c r="A8" s="48" t="s">
        <v>70</v>
      </c>
      <c r="B8" s="48"/>
      <c r="C8" s="48"/>
      <c r="D8" s="48"/>
    </row>
    <row r="9" spans="1:4" ht="15.75">
      <c r="A9" s="7" t="s">
        <v>24</v>
      </c>
      <c r="B9" s="8" t="s">
        <v>39</v>
      </c>
      <c r="C9" s="8" t="s">
        <v>40</v>
      </c>
      <c r="D9" s="31">
        <f>'[10]по форме'!$D$23</f>
        <v>10125.29</v>
      </c>
    </row>
    <row r="10" spans="1:6" ht="24" customHeight="1">
      <c r="A10" s="7" t="s">
        <v>25</v>
      </c>
      <c r="B10" s="8" t="s">
        <v>41</v>
      </c>
      <c r="C10" s="8" t="s">
        <v>40</v>
      </c>
      <c r="D10" s="31">
        <f>'[10]по форме'!$D$24</f>
        <v>-670949.5734843912</v>
      </c>
      <c r="F10" s="1"/>
    </row>
    <row r="11" spans="1:4" ht="15.75">
      <c r="A11" s="7" t="s">
        <v>42</v>
      </c>
      <c r="B11" s="8" t="s">
        <v>43</v>
      </c>
      <c r="C11" s="8" t="s">
        <v>40</v>
      </c>
      <c r="D11" s="31">
        <f>'[10]по форме'!$D$25</f>
        <v>356738.79</v>
      </c>
    </row>
    <row r="12" spans="1:9" ht="31.5">
      <c r="A12" s="7" t="s">
        <v>44</v>
      </c>
      <c r="B12" s="8" t="s">
        <v>45</v>
      </c>
      <c r="C12" s="8" t="s">
        <v>40</v>
      </c>
      <c r="D12" s="31">
        <f>D13+D14+D15</f>
        <v>850245.34972</v>
      </c>
      <c r="E12" s="1">
        <f>D12+97000</f>
        <v>947245.34972</v>
      </c>
      <c r="I12" s="3">
        <f>G12+97000</f>
        <v>97000</v>
      </c>
    </row>
    <row r="13" spans="1:4" ht="15.75">
      <c r="A13" s="7" t="s">
        <v>61</v>
      </c>
      <c r="B13" s="10" t="s">
        <v>46</v>
      </c>
      <c r="C13" s="8" t="s">
        <v>40</v>
      </c>
      <c r="D13" s="31">
        <f>'[9]Плеханова 3 с 01.09.18'!$D$66</f>
        <v>461013.878</v>
      </c>
    </row>
    <row r="14" spans="1:4" ht="15.75">
      <c r="A14" s="7" t="s">
        <v>62</v>
      </c>
      <c r="B14" s="10" t="s">
        <v>47</v>
      </c>
      <c r="C14" s="8" t="s">
        <v>40</v>
      </c>
      <c r="D14" s="31">
        <f>'[9]Плеханова 3 с 01.09.18'!$D$65</f>
        <v>305287.34964000003</v>
      </c>
    </row>
    <row r="15" spans="1:4" ht="15.75">
      <c r="A15" s="7" t="s">
        <v>63</v>
      </c>
      <c r="B15" s="10" t="s">
        <v>48</v>
      </c>
      <c r="C15" s="8" t="s">
        <v>40</v>
      </c>
      <c r="D15" s="31">
        <f>'[9]Плеханова 3 с 01.09.18'!$D$67</f>
        <v>83944.12208</v>
      </c>
    </row>
    <row r="16" spans="1:4" ht="15.75">
      <c r="A16" s="10" t="s">
        <v>49</v>
      </c>
      <c r="B16" s="10" t="s">
        <v>50</v>
      </c>
      <c r="C16" s="10" t="s">
        <v>40</v>
      </c>
      <c r="D16" s="20">
        <f>D17</f>
        <v>715251.7597200001</v>
      </c>
    </row>
    <row r="17" spans="1:4" ht="31.5">
      <c r="A17" s="10" t="s">
        <v>26</v>
      </c>
      <c r="B17" s="10" t="s">
        <v>64</v>
      </c>
      <c r="C17" s="10" t="s">
        <v>40</v>
      </c>
      <c r="D17" s="20">
        <f>D12-D25+D280+D296</f>
        <v>715251.7597200001</v>
      </c>
    </row>
    <row r="18" spans="1:4" ht="31.5">
      <c r="A18" s="10" t="s">
        <v>51</v>
      </c>
      <c r="B18" s="10" t="s">
        <v>65</v>
      </c>
      <c r="C18" s="10" t="s">
        <v>40</v>
      </c>
      <c r="D18" s="20">
        <v>0</v>
      </c>
    </row>
    <row r="19" spans="1:4" ht="15.75">
      <c r="A19" s="10" t="s">
        <v>27</v>
      </c>
      <c r="B19" s="10" t="s">
        <v>52</v>
      </c>
      <c r="C19" s="10" t="s">
        <v>40</v>
      </c>
      <c r="D19" s="20">
        <v>0</v>
      </c>
    </row>
    <row r="20" spans="1:4" ht="15.75">
      <c r="A20" s="10" t="s">
        <v>28</v>
      </c>
      <c r="B20" s="10" t="s">
        <v>53</v>
      </c>
      <c r="C20" s="10" t="s">
        <v>40</v>
      </c>
      <c r="D20" s="20">
        <v>0</v>
      </c>
    </row>
    <row r="21" spans="1:4" ht="15.75">
      <c r="A21" s="10" t="s">
        <v>54</v>
      </c>
      <c r="B21" s="10" t="s">
        <v>55</v>
      </c>
      <c r="C21" s="10" t="s">
        <v>40</v>
      </c>
      <c r="D21" s="20">
        <v>0</v>
      </c>
    </row>
    <row r="22" spans="1:4" ht="15.75">
      <c r="A22" s="10" t="s">
        <v>56</v>
      </c>
      <c r="B22" s="10" t="s">
        <v>57</v>
      </c>
      <c r="C22" s="10" t="s">
        <v>40</v>
      </c>
      <c r="D22" s="20">
        <f>D16+D10+D9</f>
        <v>54427.47623560888</v>
      </c>
    </row>
    <row r="23" spans="1:4" ht="15.75">
      <c r="A23" s="10" t="s">
        <v>58</v>
      </c>
      <c r="B23" s="10" t="s">
        <v>66</v>
      </c>
      <c r="C23" s="10" t="s">
        <v>40</v>
      </c>
      <c r="D23" s="20">
        <f>'[2]Управл 2017'!$I$87</f>
        <v>0</v>
      </c>
    </row>
    <row r="24" spans="1:4" ht="15.75">
      <c r="A24" s="10" t="s">
        <v>59</v>
      </c>
      <c r="B24" s="10" t="s">
        <v>67</v>
      </c>
      <c r="C24" s="10" t="s">
        <v>40</v>
      </c>
      <c r="D24" s="20">
        <f>D22-D275</f>
        <v>-931462.982485593</v>
      </c>
    </row>
    <row r="25" spans="1:9" ht="15.75">
      <c r="A25" s="10" t="s">
        <v>60</v>
      </c>
      <c r="B25" s="10" t="s">
        <v>68</v>
      </c>
      <c r="C25" s="10" t="s">
        <v>40</v>
      </c>
      <c r="D25" s="20">
        <f>'[2]Управл 2017'!$M$87</f>
        <v>297904.43</v>
      </c>
      <c r="E25" s="1"/>
      <c r="I25" s="1">
        <f>296449.23</f>
        <v>296449.23</v>
      </c>
    </row>
    <row r="26" spans="1:23" s="11" customFormat="1" ht="35.25" customHeight="1">
      <c r="A26" s="50" t="s">
        <v>69</v>
      </c>
      <c r="B26" s="50"/>
      <c r="C26" s="50"/>
      <c r="D26" s="50"/>
      <c r="E26" s="29"/>
      <c r="F26" s="29"/>
      <c r="G26" s="29"/>
      <c r="H26" s="29"/>
      <c r="I26" s="29"/>
      <c r="J26" s="19">
        <v>0.8928571428571429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s="35" customFormat="1" ht="31.5">
      <c r="A27" s="32" t="s">
        <v>80</v>
      </c>
      <c r="B27" s="33" t="s">
        <v>71</v>
      </c>
      <c r="C27" s="33" t="s">
        <v>34</v>
      </c>
      <c r="D27" s="33" t="s">
        <v>1</v>
      </c>
      <c r="E27" s="34"/>
      <c r="F27" s="34"/>
      <c r="G27" s="34"/>
      <c r="H27" s="34"/>
      <c r="I27" s="34"/>
      <c r="J27" s="19">
        <v>0.8928571428571429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42" customFormat="1" ht="15.75">
      <c r="A28" s="36" t="s">
        <v>76</v>
      </c>
      <c r="B28" s="37" t="s">
        <v>72</v>
      </c>
      <c r="C28" s="37" t="s">
        <v>40</v>
      </c>
      <c r="D28" s="38">
        <f>E28</f>
        <v>52549.925480000005</v>
      </c>
      <c r="E28" s="39">
        <f>'[9]Плеханова 3 с 01.09.18'!$D$44*4*E2</f>
        <v>52549.925480000005</v>
      </c>
      <c r="F28" s="40"/>
      <c r="G28" s="40">
        <f>'[1]ук(2016)'!$DC$80</f>
        <v>147467.87484</v>
      </c>
      <c r="H28" s="40"/>
      <c r="I28" s="34">
        <f>150183.05</f>
        <v>150183.05</v>
      </c>
      <c r="J28" s="19">
        <v>0.8928571428571429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s="42" customFormat="1" ht="31.5">
      <c r="A29" s="36" t="s">
        <v>77</v>
      </c>
      <c r="B29" s="37" t="s">
        <v>73</v>
      </c>
      <c r="C29" s="37" t="s">
        <v>34</v>
      </c>
      <c r="D29" s="37" t="s">
        <v>286</v>
      </c>
      <c r="E29" s="34"/>
      <c r="F29" s="41"/>
      <c r="G29" s="41"/>
      <c r="H29" s="41"/>
      <c r="I29" s="34"/>
      <c r="J29" s="19">
        <v>0.8928571428571429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s="42" customFormat="1" ht="15.75">
      <c r="A30" s="36" t="s">
        <v>78</v>
      </c>
      <c r="B30" s="37" t="s">
        <v>74</v>
      </c>
      <c r="C30" s="37" t="s">
        <v>34</v>
      </c>
      <c r="D30" s="37" t="s">
        <v>2</v>
      </c>
      <c r="E30" s="34"/>
      <c r="F30" s="41"/>
      <c r="G30" s="41"/>
      <c r="H30" s="41"/>
      <c r="I30" s="34"/>
      <c r="J30" s="19">
        <v>0.8928571428571429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s="42" customFormat="1" ht="15.75">
      <c r="A31" s="36" t="s">
        <v>79</v>
      </c>
      <c r="B31" s="37" t="s">
        <v>31</v>
      </c>
      <c r="C31" s="37" t="s">
        <v>34</v>
      </c>
      <c r="D31" s="37" t="s">
        <v>3</v>
      </c>
      <c r="E31" s="34"/>
      <c r="F31" s="41"/>
      <c r="G31" s="41"/>
      <c r="H31" s="41"/>
      <c r="I31" s="34"/>
      <c r="J31" s="19">
        <v>0.8928571428571429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s="42" customFormat="1" ht="15.75">
      <c r="A32" s="36" t="s">
        <v>81</v>
      </c>
      <c r="B32" s="37" t="s">
        <v>75</v>
      </c>
      <c r="C32" s="37" t="s">
        <v>40</v>
      </c>
      <c r="D32" s="43">
        <f>E28/E2</f>
        <v>3.716</v>
      </c>
      <c r="E32" s="34"/>
      <c r="F32" s="41"/>
      <c r="G32" s="41"/>
      <c r="H32" s="41"/>
      <c r="I32" s="34"/>
      <c r="J32" s="19">
        <v>0.8928571428571429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s="14" customFormat="1" ht="31.5">
      <c r="A33" s="30" t="s">
        <v>82</v>
      </c>
      <c r="B33" s="12" t="s">
        <v>71</v>
      </c>
      <c r="C33" s="12" t="s">
        <v>34</v>
      </c>
      <c r="D33" s="12" t="s">
        <v>4</v>
      </c>
      <c r="E33" s="13" t="s">
        <v>232</v>
      </c>
      <c r="F33" s="13"/>
      <c r="G33" s="13"/>
      <c r="H33" s="13"/>
      <c r="I33" s="13" t="s">
        <v>232</v>
      </c>
      <c r="J33" s="19">
        <v>0.8928571428571429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11" customFormat="1" ht="15.75">
      <c r="A34" s="15" t="s">
        <v>83</v>
      </c>
      <c r="B34" s="9" t="s">
        <v>72</v>
      </c>
      <c r="C34" s="9" t="s">
        <v>40</v>
      </c>
      <c r="D34" s="21">
        <f>E35+E39+E47+E51+E55+E59+E43+E63</f>
        <v>92748.16846</v>
      </c>
      <c r="E34" s="29"/>
      <c r="F34" s="29"/>
      <c r="G34" s="29"/>
      <c r="H34" s="29"/>
      <c r="I34" s="29"/>
      <c r="J34" s="19">
        <v>0.8928571428571429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s="11" customFormat="1" ht="31.5">
      <c r="A35" s="15" t="s">
        <v>84</v>
      </c>
      <c r="B35" s="9" t="s">
        <v>73</v>
      </c>
      <c r="C35" s="9" t="s">
        <v>34</v>
      </c>
      <c r="D35" s="9" t="s">
        <v>320</v>
      </c>
      <c r="E35" s="29">
        <f>'[3]Мытье полов 1,2,3 эт'!$L$8</f>
        <v>5090.9508</v>
      </c>
      <c r="F35" s="29"/>
      <c r="G35" s="22">
        <f>'[1]ук(2016)'!$DC$93</f>
        <v>1187.88852</v>
      </c>
      <c r="H35" s="29"/>
      <c r="I35" s="29">
        <f>2961.64+622.23</f>
        <v>3583.87</v>
      </c>
      <c r="J35" s="19">
        <v>0.8928571428571429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s="11" customFormat="1" ht="15.75">
      <c r="A36" s="15" t="s">
        <v>85</v>
      </c>
      <c r="B36" s="9" t="s">
        <v>74</v>
      </c>
      <c r="C36" s="9" t="s">
        <v>34</v>
      </c>
      <c r="D36" s="9" t="s">
        <v>17</v>
      </c>
      <c r="E36" s="29"/>
      <c r="F36" s="29"/>
      <c r="G36" s="29"/>
      <c r="H36" s="29"/>
      <c r="I36" s="29"/>
      <c r="J36" s="19">
        <v>0.8928571428571429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11" customFormat="1" ht="15.75">
      <c r="A37" s="15" t="s">
        <v>86</v>
      </c>
      <c r="B37" s="9" t="s">
        <v>31</v>
      </c>
      <c r="C37" s="9" t="s">
        <v>34</v>
      </c>
      <c r="D37" s="9" t="s">
        <v>3</v>
      </c>
      <c r="E37" s="29"/>
      <c r="F37" s="29"/>
      <c r="G37" s="29"/>
      <c r="H37" s="29"/>
      <c r="I37" s="29"/>
      <c r="J37" s="19">
        <v>0.8928571428571429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s="11" customFormat="1" ht="15.75">
      <c r="A38" s="15" t="s">
        <v>87</v>
      </c>
      <c r="B38" s="9" t="s">
        <v>75</v>
      </c>
      <c r="C38" s="9" t="s">
        <v>40</v>
      </c>
      <c r="D38" s="23">
        <f>E35/E2</f>
        <v>0.35999999999999993</v>
      </c>
      <c r="E38" s="29"/>
      <c r="F38" s="29"/>
      <c r="G38" s="29"/>
      <c r="H38" s="29"/>
      <c r="I38" s="29"/>
      <c r="J38" s="19">
        <v>0.8928571428571429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s="11" customFormat="1" ht="31.5" hidden="1">
      <c r="A39" s="15" t="s">
        <v>88</v>
      </c>
      <c r="B39" s="9" t="s">
        <v>73</v>
      </c>
      <c r="C39" s="9" t="s">
        <v>34</v>
      </c>
      <c r="D39" s="9" t="s">
        <v>301</v>
      </c>
      <c r="E39" s="29">
        <f>0</f>
        <v>0</v>
      </c>
      <c r="F39" s="29"/>
      <c r="G39" s="22">
        <f>'[1]ук(2016)'!$DC$94</f>
        <v>8315.21964</v>
      </c>
      <c r="H39" s="29"/>
      <c r="I39" s="29">
        <f>4157.61+8329.36</f>
        <v>12486.970000000001</v>
      </c>
      <c r="J39" s="19">
        <v>0.8928571428571429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s="11" customFormat="1" ht="15.75" hidden="1">
      <c r="A40" s="15" t="s">
        <v>89</v>
      </c>
      <c r="B40" s="9" t="s">
        <v>74</v>
      </c>
      <c r="C40" s="9" t="s">
        <v>34</v>
      </c>
      <c r="D40" s="9" t="s">
        <v>96</v>
      </c>
      <c r="E40" s="29"/>
      <c r="F40" s="29"/>
      <c r="G40" s="29"/>
      <c r="H40" s="29"/>
      <c r="I40" s="29"/>
      <c r="J40" s="19">
        <v>0.8928571428571429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s="11" customFormat="1" ht="15.75" hidden="1">
      <c r="A41" s="15" t="s">
        <v>90</v>
      </c>
      <c r="B41" s="9" t="s">
        <v>31</v>
      </c>
      <c r="C41" s="9" t="s">
        <v>34</v>
      </c>
      <c r="D41" s="9" t="s">
        <v>3</v>
      </c>
      <c r="E41" s="29"/>
      <c r="F41" s="29"/>
      <c r="G41" s="29"/>
      <c r="H41" s="29"/>
      <c r="I41" s="29"/>
      <c r="J41" s="19">
        <v>0.8928571428571429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s="11" customFormat="1" ht="15.75" hidden="1">
      <c r="A42" s="15" t="s">
        <v>91</v>
      </c>
      <c r="B42" s="9" t="s">
        <v>75</v>
      </c>
      <c r="C42" s="9" t="s">
        <v>40</v>
      </c>
      <c r="D42" s="23">
        <f>E39/E2</f>
        <v>0</v>
      </c>
      <c r="E42" s="29"/>
      <c r="F42" s="29"/>
      <c r="G42" s="29"/>
      <c r="H42" s="29"/>
      <c r="I42" s="29"/>
      <c r="J42" s="19">
        <v>0.8928571428571429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s="11" customFormat="1" ht="31.5">
      <c r="A43" s="15" t="s">
        <v>92</v>
      </c>
      <c r="B43" s="9" t="s">
        <v>73</v>
      </c>
      <c r="C43" s="9" t="s">
        <v>34</v>
      </c>
      <c r="D43" s="9" t="s">
        <v>282</v>
      </c>
      <c r="E43" s="29">
        <f>'[3]Обметание пыли'!$L$8</f>
        <v>3224.2688399999997</v>
      </c>
      <c r="F43" s="29">
        <f>3348.69</f>
        <v>3348.69</v>
      </c>
      <c r="G43" s="22">
        <f>'[1]ук(2016)'!$DC$102</f>
        <v>2715.17376</v>
      </c>
      <c r="H43" s="22"/>
      <c r="I43" s="29">
        <f>42300.14+72130.29</f>
        <v>114430.43</v>
      </c>
      <c r="J43" s="19">
        <v>0.8928571428571429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s="11" customFormat="1" ht="15.75">
      <c r="A44" s="15" t="s">
        <v>93</v>
      </c>
      <c r="B44" s="9" t="s">
        <v>74</v>
      </c>
      <c r="C44" s="9" t="s">
        <v>34</v>
      </c>
      <c r="D44" s="9" t="s">
        <v>96</v>
      </c>
      <c r="E44" s="29"/>
      <c r="F44" s="29"/>
      <c r="G44" s="29"/>
      <c r="H44" s="29"/>
      <c r="I44" s="29"/>
      <c r="J44" s="19">
        <v>0.8928571428571429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3" s="11" customFormat="1" ht="15.75">
      <c r="A45" s="15" t="s">
        <v>94</v>
      </c>
      <c r="B45" s="9" t="s">
        <v>31</v>
      </c>
      <c r="C45" s="9" t="s">
        <v>34</v>
      </c>
      <c r="D45" s="9" t="s">
        <v>3</v>
      </c>
      <c r="E45" s="29"/>
      <c r="F45" s="29"/>
      <c r="G45" s="29"/>
      <c r="H45" s="29"/>
      <c r="I45" s="29"/>
      <c r="J45" s="19">
        <v>0.8928571428571429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 s="11" customFormat="1" ht="15.75">
      <c r="A46" s="15" t="s">
        <v>95</v>
      </c>
      <c r="B46" s="9" t="s">
        <v>75</v>
      </c>
      <c r="C46" s="9" t="s">
        <v>40</v>
      </c>
      <c r="D46" s="16">
        <f>E43/E2</f>
        <v>0.22799999999999998</v>
      </c>
      <c r="E46" s="29"/>
      <c r="F46" s="29"/>
      <c r="G46" s="29"/>
      <c r="H46" s="29"/>
      <c r="I46" s="29"/>
      <c r="J46" s="19">
        <v>0.8928571428571429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s="11" customFormat="1" ht="31.5" hidden="1">
      <c r="A47" s="15" t="s">
        <v>92</v>
      </c>
      <c r="B47" s="9" t="s">
        <v>73</v>
      </c>
      <c r="C47" s="9" t="s">
        <v>34</v>
      </c>
      <c r="D47" s="9" t="s">
        <v>278</v>
      </c>
      <c r="E47" s="22"/>
      <c r="F47" s="29">
        <f>149237.42*J47</f>
        <v>133247.69642857145</v>
      </c>
      <c r="G47" s="22">
        <f>'[1]ук(2016)'!$DC$92</f>
        <v>122352.51756000001</v>
      </c>
      <c r="H47" s="29">
        <f>72130.29+31725.11</f>
        <v>103855.4</v>
      </c>
      <c r="I47" s="29">
        <f>42300.14+72130.29</f>
        <v>114430.43</v>
      </c>
      <c r="J47" s="19">
        <v>0.8928571428571429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s="11" customFormat="1" ht="15.75" hidden="1">
      <c r="A48" s="15" t="s">
        <v>93</v>
      </c>
      <c r="B48" s="9" t="s">
        <v>74</v>
      </c>
      <c r="C48" s="9" t="s">
        <v>34</v>
      </c>
      <c r="D48" s="9" t="s">
        <v>14</v>
      </c>
      <c r="E48" s="29"/>
      <c r="F48" s="29"/>
      <c r="G48" s="29"/>
      <c r="H48" s="29"/>
      <c r="I48" s="29"/>
      <c r="J48" s="19">
        <v>0.8928571428571429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s="11" customFormat="1" ht="15.75" hidden="1">
      <c r="A49" s="15" t="s">
        <v>94</v>
      </c>
      <c r="B49" s="9" t="s">
        <v>31</v>
      </c>
      <c r="C49" s="9" t="s">
        <v>34</v>
      </c>
      <c r="D49" s="9" t="s">
        <v>3</v>
      </c>
      <c r="E49" s="29"/>
      <c r="F49" s="29"/>
      <c r="G49" s="29"/>
      <c r="H49" s="29"/>
      <c r="I49" s="29"/>
      <c r="J49" s="19">
        <v>0.8928571428571429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s="11" customFormat="1" ht="15.75" hidden="1">
      <c r="A50" s="15" t="s">
        <v>95</v>
      </c>
      <c r="B50" s="9" t="s">
        <v>75</v>
      </c>
      <c r="C50" s="9" t="s">
        <v>40</v>
      </c>
      <c r="D50" s="21">
        <f>E47/E2</f>
        <v>0</v>
      </c>
      <c r="E50" s="29"/>
      <c r="F50" s="29"/>
      <c r="G50" s="29"/>
      <c r="H50" s="29"/>
      <c r="I50" s="29"/>
      <c r="J50" s="19">
        <v>0.8928571428571429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s="11" customFormat="1" ht="31.5">
      <c r="A51" s="15" t="s">
        <v>235</v>
      </c>
      <c r="B51" s="9" t="s">
        <v>73</v>
      </c>
      <c r="C51" s="9" t="s">
        <v>34</v>
      </c>
      <c r="D51" s="9" t="s">
        <v>319</v>
      </c>
      <c r="E51" s="22">
        <f>'[3]Влажное подметание 1,2,3 эт.'!$DV$8+'[3]Влажное подметание выше 3 эт.'!$L$8</f>
        <v>36683.128820000005</v>
      </c>
      <c r="F51" s="29">
        <f>147022.21*J51</f>
        <v>131269.83035714287</v>
      </c>
      <c r="G51" s="22">
        <f>'[1]ук(2016)'!$DC$91</f>
        <v>120655.53396</v>
      </c>
      <c r="H51" s="29">
        <f>31075.6+71109.27</f>
        <v>102184.87</v>
      </c>
      <c r="I51" s="29">
        <f>41493.67+71109.27</f>
        <v>112602.94</v>
      </c>
      <c r="J51" s="19">
        <v>0.8928571428571429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s="11" customFormat="1" ht="15.75">
      <c r="A52" s="15" t="s">
        <v>236</v>
      </c>
      <c r="B52" s="9" t="s">
        <v>74</v>
      </c>
      <c r="C52" s="9" t="s">
        <v>34</v>
      </c>
      <c r="D52" s="9" t="s">
        <v>15</v>
      </c>
      <c r="E52" s="29"/>
      <c r="F52" s="29"/>
      <c r="G52" s="29"/>
      <c r="H52" s="29"/>
      <c r="I52" s="29"/>
      <c r="J52" s="19">
        <v>0.8928571428571429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s="11" customFormat="1" ht="15.75">
      <c r="A53" s="15" t="s">
        <v>237</v>
      </c>
      <c r="B53" s="9" t="s">
        <v>31</v>
      </c>
      <c r="C53" s="9" t="s">
        <v>34</v>
      </c>
      <c r="D53" s="9" t="s">
        <v>3</v>
      </c>
      <c r="E53" s="29"/>
      <c r="F53" s="29"/>
      <c r="G53" s="29"/>
      <c r="H53" s="29"/>
      <c r="I53" s="29"/>
      <c r="J53" s="19">
        <v>0.8928571428571429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s="11" customFormat="1" ht="15.75">
      <c r="A54" s="15" t="s">
        <v>238</v>
      </c>
      <c r="B54" s="9" t="s">
        <v>75</v>
      </c>
      <c r="C54" s="9" t="s">
        <v>40</v>
      </c>
      <c r="D54" s="23">
        <f>E51/E2</f>
        <v>2.5940000000000003</v>
      </c>
      <c r="E54" s="29"/>
      <c r="F54" s="29"/>
      <c r="G54" s="29"/>
      <c r="H54" s="29"/>
      <c r="I54" s="29"/>
      <c r="J54" s="19">
        <v>0.8928571428571429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s="11" customFormat="1" ht="31.5">
      <c r="A55" s="15" t="s">
        <v>239</v>
      </c>
      <c r="B55" s="9" t="s">
        <v>73</v>
      </c>
      <c r="C55" s="9" t="s">
        <v>34</v>
      </c>
      <c r="D55" s="23" t="s">
        <v>307</v>
      </c>
      <c r="E55" s="22">
        <v>0</v>
      </c>
      <c r="F55" s="29">
        <f>957.93</f>
        <v>957.93</v>
      </c>
      <c r="G55" s="22">
        <f>'[1]ук(2016)'!$DC$97+'[1]ук(2016)'!$DC$98+'[1]ук(2016)'!$DC$100+'[1]ук(2016)'!$DC$101+'[1]ук(2016)'!$DC$103</f>
        <v>848.4918</v>
      </c>
      <c r="H55" s="29">
        <v>834.35</v>
      </c>
      <c r="I55" s="29">
        <v>834.35</v>
      </c>
      <c r="J55" s="19">
        <v>0.8928571428571429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s="11" customFormat="1" ht="15.75">
      <c r="A56" s="15" t="s">
        <v>240</v>
      </c>
      <c r="B56" s="9" t="s">
        <v>74</v>
      </c>
      <c r="C56" s="9" t="s">
        <v>34</v>
      </c>
      <c r="D56" s="23" t="s">
        <v>17</v>
      </c>
      <c r="E56" s="29"/>
      <c r="F56" s="29"/>
      <c r="G56" s="29"/>
      <c r="H56" s="29"/>
      <c r="I56" s="29"/>
      <c r="J56" s="19">
        <v>0.8928571428571429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s="11" customFormat="1" ht="15.75">
      <c r="A57" s="15" t="s">
        <v>241</v>
      </c>
      <c r="B57" s="9" t="s">
        <v>31</v>
      </c>
      <c r="C57" s="9" t="s">
        <v>34</v>
      </c>
      <c r="D57" s="23" t="s">
        <v>3</v>
      </c>
      <c r="E57" s="29"/>
      <c r="F57" s="29"/>
      <c r="G57" s="29"/>
      <c r="H57" s="29"/>
      <c r="I57" s="29"/>
      <c r="J57" s="19">
        <v>0.8928571428571429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s="11" customFormat="1" ht="15.75">
      <c r="A58" s="15" t="s">
        <v>242</v>
      </c>
      <c r="B58" s="9" t="s">
        <v>75</v>
      </c>
      <c r="C58" s="9" t="s">
        <v>40</v>
      </c>
      <c r="D58" s="44">
        <f>E55/E2</f>
        <v>0</v>
      </c>
      <c r="E58" s="29"/>
      <c r="F58" s="29"/>
      <c r="G58" s="29"/>
      <c r="H58" s="29"/>
      <c r="I58" s="29"/>
      <c r="J58" s="19">
        <v>0.8928571428571429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s="11" customFormat="1" ht="31.5">
      <c r="A59" s="15" t="s">
        <v>243</v>
      </c>
      <c r="B59" s="9" t="s">
        <v>73</v>
      </c>
      <c r="C59" s="9" t="s">
        <v>34</v>
      </c>
      <c r="D59" s="23" t="s">
        <v>308</v>
      </c>
      <c r="E59" s="22">
        <v>0</v>
      </c>
      <c r="F59" s="29">
        <v>5108.96</v>
      </c>
      <c r="G59" s="22">
        <f>'[1]ук(2016)'!$DC$95</f>
        <v>4242.459000000001</v>
      </c>
      <c r="H59" s="29">
        <v>4157.61</v>
      </c>
      <c r="I59" s="29">
        <v>4157.61</v>
      </c>
      <c r="J59" s="19">
        <v>0.8928571428571429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s="11" customFormat="1" ht="15.75">
      <c r="A60" s="15" t="s">
        <v>244</v>
      </c>
      <c r="B60" s="9" t="s">
        <v>74</v>
      </c>
      <c r="C60" s="9" t="s">
        <v>34</v>
      </c>
      <c r="D60" s="23" t="s">
        <v>96</v>
      </c>
      <c r="E60" s="29"/>
      <c r="F60" s="29"/>
      <c r="G60" s="29"/>
      <c r="H60" s="29"/>
      <c r="I60" s="29"/>
      <c r="J60" s="19">
        <v>0.8928571428571429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s="11" customFormat="1" ht="15.75">
      <c r="A61" s="15" t="s">
        <v>245</v>
      </c>
      <c r="B61" s="9" t="s">
        <v>31</v>
      </c>
      <c r="C61" s="9" t="s">
        <v>34</v>
      </c>
      <c r="D61" s="23" t="s">
        <v>3</v>
      </c>
      <c r="E61" s="29"/>
      <c r="F61" s="29"/>
      <c r="G61" s="29"/>
      <c r="H61" s="29"/>
      <c r="I61" s="29"/>
      <c r="J61" s="19">
        <v>0.8928571428571429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s="11" customFormat="1" ht="15.75">
      <c r="A62" s="15" t="s">
        <v>246</v>
      </c>
      <c r="B62" s="9" t="s">
        <v>75</v>
      </c>
      <c r="C62" s="9" t="s">
        <v>40</v>
      </c>
      <c r="D62" s="44">
        <f>E59/E2</f>
        <v>0</v>
      </c>
      <c r="E62" s="29"/>
      <c r="F62" s="29"/>
      <c r="G62" s="29"/>
      <c r="H62" s="29"/>
      <c r="I62" s="29"/>
      <c r="J62" s="19">
        <v>0.8928571428571429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s="11" customFormat="1" ht="31.5">
      <c r="A63" s="15" t="s">
        <v>103</v>
      </c>
      <c r="B63" s="9" t="s">
        <v>73</v>
      </c>
      <c r="C63" s="9" t="s">
        <v>34</v>
      </c>
      <c r="D63" s="9" t="s">
        <v>285</v>
      </c>
      <c r="E63" s="25">
        <f>'[2]Управл 2017'!$V$66</f>
        <v>47749.82</v>
      </c>
      <c r="F63" s="13"/>
      <c r="G63" s="22">
        <f>'[1]ук(2016)'!$DC$79</f>
        <v>96218.97011999998</v>
      </c>
      <c r="H63" s="22"/>
      <c r="I63" s="13">
        <f>138969.81</f>
        <v>138969.81</v>
      </c>
      <c r="J63" s="19">
        <v>0.8928571428571429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s="11" customFormat="1" ht="15.75">
      <c r="A64" s="15" t="s">
        <v>104</v>
      </c>
      <c r="B64" s="9" t="s">
        <v>74</v>
      </c>
      <c r="C64" s="9" t="s">
        <v>34</v>
      </c>
      <c r="D64" s="9" t="s">
        <v>8</v>
      </c>
      <c r="E64" s="13"/>
      <c r="F64" s="13"/>
      <c r="G64" s="29"/>
      <c r="H64" s="29"/>
      <c r="I64" s="13"/>
      <c r="J64" s="19">
        <v>0.8928571428571429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s="11" customFormat="1" ht="15.75">
      <c r="A65" s="15" t="s">
        <v>105</v>
      </c>
      <c r="B65" s="9" t="s">
        <v>31</v>
      </c>
      <c r="C65" s="9" t="s">
        <v>34</v>
      </c>
      <c r="D65" s="9" t="s">
        <v>3</v>
      </c>
      <c r="E65" s="13"/>
      <c r="F65" s="13"/>
      <c r="G65" s="29"/>
      <c r="H65" s="29"/>
      <c r="I65" s="13"/>
      <c r="J65" s="19">
        <v>0.8928571428571429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s="11" customFormat="1" ht="15.75">
      <c r="A66" s="15" t="s">
        <v>106</v>
      </c>
      <c r="B66" s="9" t="s">
        <v>75</v>
      </c>
      <c r="C66" s="9" t="s">
        <v>40</v>
      </c>
      <c r="D66" s="16">
        <f>E63/E2</f>
        <v>3.3765667505566936</v>
      </c>
      <c r="E66" s="13"/>
      <c r="F66" s="13"/>
      <c r="G66" s="29"/>
      <c r="H66" s="29"/>
      <c r="I66" s="13"/>
      <c r="J66" s="19">
        <v>0.8928571428571429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s="11" customFormat="1" ht="15.75">
      <c r="A67" s="15"/>
      <c r="B67" s="12" t="s">
        <v>71</v>
      </c>
      <c r="C67" s="9"/>
      <c r="D67" s="12" t="s">
        <v>335</v>
      </c>
      <c r="E67" s="13"/>
      <c r="F67" s="13"/>
      <c r="G67" s="29"/>
      <c r="H67" s="29"/>
      <c r="I67" s="13"/>
      <c r="J67" s="1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s="11" customFormat="1" ht="15.75">
      <c r="A68" s="15"/>
      <c r="B68" s="9" t="s">
        <v>72</v>
      </c>
      <c r="C68" s="9" t="s">
        <v>40</v>
      </c>
      <c r="D68" s="9">
        <f>E69</f>
        <v>38634.659960000005</v>
      </c>
      <c r="E68" s="13"/>
      <c r="F68" s="13"/>
      <c r="G68" s="29"/>
      <c r="H68" s="29"/>
      <c r="I68" s="13"/>
      <c r="J68" s="1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s="11" customFormat="1" ht="31.5">
      <c r="A69" s="15"/>
      <c r="B69" s="9" t="s">
        <v>73</v>
      </c>
      <c r="C69" s="9" t="s">
        <v>34</v>
      </c>
      <c r="D69" s="9" t="s">
        <v>336</v>
      </c>
      <c r="E69" s="25">
        <f>'[9]Плеханова 3 с 01.09.18'!$D$45*4*E2</f>
        <v>38634.659960000005</v>
      </c>
      <c r="F69" s="13"/>
      <c r="G69" s="29"/>
      <c r="H69" s="29"/>
      <c r="I69" s="13"/>
      <c r="J69" s="1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s="11" customFormat="1" ht="15.75">
      <c r="A70" s="15"/>
      <c r="B70" s="9" t="s">
        <v>74</v>
      </c>
      <c r="C70" s="9" t="s">
        <v>34</v>
      </c>
      <c r="D70" s="9" t="s">
        <v>19</v>
      </c>
      <c r="E70" s="13"/>
      <c r="F70" s="13"/>
      <c r="G70" s="29"/>
      <c r="H70" s="29"/>
      <c r="I70" s="13"/>
      <c r="J70" s="1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s="11" customFormat="1" ht="15.75">
      <c r="A71" s="15"/>
      <c r="B71" s="9" t="s">
        <v>31</v>
      </c>
      <c r="C71" s="9" t="s">
        <v>34</v>
      </c>
      <c r="D71" s="9" t="s">
        <v>3</v>
      </c>
      <c r="E71" s="13"/>
      <c r="F71" s="13"/>
      <c r="G71" s="29"/>
      <c r="H71" s="29"/>
      <c r="I71" s="13"/>
      <c r="J71" s="1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s="11" customFormat="1" ht="15.75">
      <c r="A72" s="15"/>
      <c r="B72" s="9" t="s">
        <v>75</v>
      </c>
      <c r="C72" s="9" t="s">
        <v>40</v>
      </c>
      <c r="D72" s="16">
        <f>E69/E2</f>
        <v>2.732</v>
      </c>
      <c r="E72" s="13"/>
      <c r="F72" s="13"/>
      <c r="G72" s="29"/>
      <c r="H72" s="29"/>
      <c r="I72" s="13"/>
      <c r="J72" s="1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s="11" customFormat="1" ht="31.5">
      <c r="A73" s="15"/>
      <c r="B73" s="12" t="s">
        <v>71</v>
      </c>
      <c r="C73" s="9"/>
      <c r="D73" s="12" t="s">
        <v>337</v>
      </c>
      <c r="E73" s="13"/>
      <c r="F73" s="13"/>
      <c r="G73" s="29"/>
      <c r="H73" s="29"/>
      <c r="I73" s="13"/>
      <c r="J73" s="1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s="11" customFormat="1" ht="15.75">
      <c r="A74" s="15"/>
      <c r="B74" s="9" t="s">
        <v>72</v>
      </c>
      <c r="C74" s="9" t="s">
        <v>40</v>
      </c>
      <c r="D74" s="9">
        <f>E75</f>
        <v>83944.12208</v>
      </c>
      <c r="E74" s="13"/>
      <c r="F74" s="13"/>
      <c r="G74" s="29"/>
      <c r="H74" s="29"/>
      <c r="I74" s="13"/>
      <c r="J74" s="1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s="11" customFormat="1" ht="31.5">
      <c r="A75" s="15"/>
      <c r="B75" s="9" t="s">
        <v>73</v>
      </c>
      <c r="C75" s="9" t="s">
        <v>34</v>
      </c>
      <c r="D75" s="9" t="s">
        <v>338</v>
      </c>
      <c r="E75" s="13">
        <f>'[9]Плеханова 3 с 01.09.18'!$D$46*4*E2</f>
        <v>83944.12208</v>
      </c>
      <c r="F75" s="13"/>
      <c r="G75" s="29"/>
      <c r="H75" s="29"/>
      <c r="I75" s="13"/>
      <c r="J75" s="1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s="11" customFormat="1" ht="15.75">
      <c r="A76" s="15"/>
      <c r="B76" s="9" t="s">
        <v>74</v>
      </c>
      <c r="C76" s="9" t="s">
        <v>34</v>
      </c>
      <c r="D76" s="9" t="s">
        <v>6</v>
      </c>
      <c r="E76" s="13"/>
      <c r="F76" s="13"/>
      <c r="G76" s="29"/>
      <c r="H76" s="29"/>
      <c r="I76" s="13"/>
      <c r="J76" s="1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s="11" customFormat="1" ht="15.75">
      <c r="A77" s="15"/>
      <c r="B77" s="9" t="s">
        <v>31</v>
      </c>
      <c r="C77" s="9" t="s">
        <v>34</v>
      </c>
      <c r="D77" s="9" t="s">
        <v>3</v>
      </c>
      <c r="E77" s="13"/>
      <c r="F77" s="13"/>
      <c r="G77" s="29"/>
      <c r="H77" s="29"/>
      <c r="I77" s="13"/>
      <c r="J77" s="1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s="11" customFormat="1" ht="15.75">
      <c r="A78" s="15"/>
      <c r="B78" s="9" t="s">
        <v>75</v>
      </c>
      <c r="C78" s="9" t="s">
        <v>40</v>
      </c>
      <c r="D78" s="16">
        <f>E75/E2</f>
        <v>5.936</v>
      </c>
      <c r="E78" s="13"/>
      <c r="F78" s="13"/>
      <c r="G78" s="29"/>
      <c r="H78" s="29"/>
      <c r="I78" s="13"/>
      <c r="J78" s="1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s="11" customFormat="1" ht="31.5">
      <c r="A79" s="15"/>
      <c r="B79" s="12" t="s">
        <v>71</v>
      </c>
      <c r="C79" s="12"/>
      <c r="D79" s="12" t="s">
        <v>263</v>
      </c>
      <c r="E79" s="13"/>
      <c r="F79" s="29"/>
      <c r="G79" s="29"/>
      <c r="H79" s="29"/>
      <c r="I79" s="13"/>
      <c r="J79" s="19">
        <v>0.8928571428571429</v>
      </c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s="11" customFormat="1" ht="15.75">
      <c r="A80" s="15"/>
      <c r="B80" s="9" t="s">
        <v>72</v>
      </c>
      <c r="C80" s="9" t="s">
        <v>40</v>
      </c>
      <c r="D80" s="21">
        <f>E81+E85+E89</f>
        <v>53228.71892</v>
      </c>
      <c r="E80" s="13"/>
      <c r="F80" s="29"/>
      <c r="G80" s="29"/>
      <c r="H80" s="29"/>
      <c r="I80" s="13"/>
      <c r="J80" s="19">
        <v>0.8928571428571429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s="11" customFormat="1" ht="31.5" customHeight="1" hidden="1">
      <c r="A81" s="15"/>
      <c r="B81" s="9" t="s">
        <v>73</v>
      </c>
      <c r="C81" s="9" t="s">
        <v>34</v>
      </c>
      <c r="D81" s="9" t="s">
        <v>279</v>
      </c>
      <c r="E81" s="13">
        <v>0</v>
      </c>
      <c r="F81" s="29">
        <f>3312.84*J81</f>
        <v>2957.8928571428573</v>
      </c>
      <c r="G81" s="22">
        <f>'[1]ук(2016)'!$DC$73</f>
        <v>2715.17376</v>
      </c>
      <c r="H81" s="22"/>
      <c r="I81" s="13">
        <v>104265.5</v>
      </c>
      <c r="J81" s="19">
        <v>0.8928571428571429</v>
      </c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s="11" customFormat="1" ht="15.75" customHeight="1" hidden="1">
      <c r="A82" s="15"/>
      <c r="B82" s="9" t="s">
        <v>74</v>
      </c>
      <c r="C82" s="9" t="s">
        <v>34</v>
      </c>
      <c r="D82" s="9" t="s">
        <v>13</v>
      </c>
      <c r="E82" s="13"/>
      <c r="F82" s="29"/>
      <c r="G82" s="29"/>
      <c r="H82" s="29"/>
      <c r="I82" s="13"/>
      <c r="J82" s="19">
        <v>0.8928571428571429</v>
      </c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s="11" customFormat="1" ht="15.75" customHeight="1" hidden="1">
      <c r="A83" s="15"/>
      <c r="B83" s="9" t="s">
        <v>31</v>
      </c>
      <c r="C83" s="9" t="s">
        <v>34</v>
      </c>
      <c r="D83" s="9" t="s">
        <v>3</v>
      </c>
      <c r="E83" s="13"/>
      <c r="F83" s="29"/>
      <c r="G83" s="29"/>
      <c r="H83" s="29"/>
      <c r="I83" s="13"/>
      <c r="J83" s="19">
        <v>0.8928571428571429</v>
      </c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11" customFormat="1" ht="15.75" customHeight="1" hidden="1">
      <c r="A84" s="15"/>
      <c r="B84" s="9" t="s">
        <v>75</v>
      </c>
      <c r="C84" s="9" t="s">
        <v>40</v>
      </c>
      <c r="D84" s="16">
        <f>E81/E2</f>
        <v>0</v>
      </c>
      <c r="E84" s="13"/>
      <c r="F84" s="29"/>
      <c r="G84" s="29"/>
      <c r="H84" s="29"/>
      <c r="I84" s="13"/>
      <c r="J84" s="19">
        <v>0.8928571428571429</v>
      </c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s="11" customFormat="1" ht="31.5">
      <c r="A85" s="15"/>
      <c r="B85" s="9" t="s">
        <v>73</v>
      </c>
      <c r="C85" s="9" t="s">
        <v>34</v>
      </c>
      <c r="D85" s="9" t="s">
        <v>309</v>
      </c>
      <c r="E85" s="24">
        <f>'[4]Удаление мусора из м.п.к.'!$HV$9</f>
        <v>51701.43368</v>
      </c>
      <c r="F85" s="29">
        <f>134309.69*J85</f>
        <v>119919.36607142858</v>
      </c>
      <c r="G85" s="22">
        <f>'[1]ук(2016)'!$DC$69</f>
        <v>110134.23564</v>
      </c>
      <c r="H85" s="13">
        <v>94536.13</v>
      </c>
      <c r="I85" s="13">
        <v>7608.14</v>
      </c>
      <c r="J85" s="19">
        <v>0.8928571428571429</v>
      </c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s="11" customFormat="1" ht="15.75">
      <c r="A86" s="15"/>
      <c r="B86" s="9" t="s">
        <v>74</v>
      </c>
      <c r="C86" s="9" t="s">
        <v>34</v>
      </c>
      <c r="D86" s="9" t="s">
        <v>5</v>
      </c>
      <c r="E86" s="13"/>
      <c r="F86" s="29"/>
      <c r="G86" s="29"/>
      <c r="H86" s="29"/>
      <c r="I86" s="13"/>
      <c r="J86" s="19">
        <v>0.8928571428571429</v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s="11" customFormat="1" ht="15.75">
      <c r="A87" s="15"/>
      <c r="B87" s="9" t="s">
        <v>31</v>
      </c>
      <c r="C87" s="9" t="s">
        <v>34</v>
      </c>
      <c r="D87" s="9" t="s">
        <v>3</v>
      </c>
      <c r="E87" s="13"/>
      <c r="F87" s="29"/>
      <c r="G87" s="29"/>
      <c r="H87" s="29"/>
      <c r="I87" s="13"/>
      <c r="J87" s="19">
        <v>0.8928571428571429</v>
      </c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s="11" customFormat="1" ht="15.75">
      <c r="A88" s="15"/>
      <c r="B88" s="9" t="s">
        <v>75</v>
      </c>
      <c r="C88" s="9" t="s">
        <v>40</v>
      </c>
      <c r="D88" s="16">
        <f>E85/E2</f>
        <v>3.656</v>
      </c>
      <c r="E88" s="13"/>
      <c r="F88" s="29"/>
      <c r="G88" s="29"/>
      <c r="H88" s="29"/>
      <c r="I88" s="13"/>
      <c r="J88" s="19">
        <v>0.8928571428571429</v>
      </c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s="11" customFormat="1" ht="31.5">
      <c r="A89" s="15"/>
      <c r="B89" s="9" t="s">
        <v>73</v>
      </c>
      <c r="C89" s="9" t="s">
        <v>34</v>
      </c>
      <c r="D89" s="9" t="s">
        <v>310</v>
      </c>
      <c r="E89" s="25">
        <f>'[4]Мытье и протирка загр.клапанов'!$R$9</f>
        <v>1527.28524</v>
      </c>
      <c r="F89" s="29">
        <f>3512.41</f>
        <v>3512.41</v>
      </c>
      <c r="G89" s="22">
        <f>'[1]ук(2016)'!$DC$72</f>
        <v>2884.8721200000005</v>
      </c>
      <c r="H89" s="22"/>
      <c r="I89" s="13">
        <v>4044.48</v>
      </c>
      <c r="J89" s="19">
        <v>0.8928571428571429</v>
      </c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s="11" customFormat="1" ht="15.75">
      <c r="A90" s="15"/>
      <c r="B90" s="9" t="s">
        <v>74</v>
      </c>
      <c r="C90" s="9" t="s">
        <v>34</v>
      </c>
      <c r="D90" s="9" t="s">
        <v>11</v>
      </c>
      <c r="E90" s="13"/>
      <c r="F90" s="29"/>
      <c r="G90" s="29"/>
      <c r="H90" s="29"/>
      <c r="I90" s="13"/>
      <c r="J90" s="19">
        <v>0.8928571428571429</v>
      </c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s="11" customFormat="1" ht="15.75">
      <c r="A91" s="15"/>
      <c r="B91" s="9" t="s">
        <v>31</v>
      </c>
      <c r="C91" s="9" t="s">
        <v>34</v>
      </c>
      <c r="D91" s="9" t="s">
        <v>3</v>
      </c>
      <c r="E91" s="13"/>
      <c r="F91" s="29"/>
      <c r="G91" s="29"/>
      <c r="H91" s="29"/>
      <c r="I91" s="13"/>
      <c r="J91" s="19">
        <v>0.8928571428571429</v>
      </c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s="11" customFormat="1" ht="15.75">
      <c r="A92" s="15"/>
      <c r="B92" s="9" t="s">
        <v>75</v>
      </c>
      <c r="C92" s="9" t="s">
        <v>40</v>
      </c>
      <c r="D92" s="16">
        <f>E89/E2</f>
        <v>0.10799999999999998</v>
      </c>
      <c r="E92" s="13"/>
      <c r="F92" s="29"/>
      <c r="G92" s="29"/>
      <c r="H92" s="29"/>
      <c r="I92" s="13"/>
      <c r="J92" s="19">
        <v>0.8928571428571429</v>
      </c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s="11" customFormat="1" ht="31.5">
      <c r="A93" s="15"/>
      <c r="B93" s="12" t="s">
        <v>71</v>
      </c>
      <c r="C93" s="12" t="s">
        <v>34</v>
      </c>
      <c r="D93" s="12" t="s">
        <v>264</v>
      </c>
      <c r="E93" s="13"/>
      <c r="F93" s="29"/>
      <c r="G93" s="29"/>
      <c r="H93" s="29"/>
      <c r="I93" s="13"/>
      <c r="J93" s="19">
        <v>0.8928571428571429</v>
      </c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s="11" customFormat="1" ht="15.75">
      <c r="A94" s="15"/>
      <c r="B94" s="9" t="s">
        <v>72</v>
      </c>
      <c r="C94" s="9" t="s">
        <v>40</v>
      </c>
      <c r="D94" s="21">
        <f>E95+E99+E103+E107</f>
        <v>211146.21676000004</v>
      </c>
      <c r="E94" s="13"/>
      <c r="F94" s="29"/>
      <c r="G94" s="29"/>
      <c r="H94" s="29"/>
      <c r="I94" s="13"/>
      <c r="J94" s="19">
        <v>0.8928571428571429</v>
      </c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s="11" customFormat="1" ht="78.75">
      <c r="A95" s="15"/>
      <c r="B95" s="9" t="s">
        <v>73</v>
      </c>
      <c r="C95" s="9" t="s">
        <v>34</v>
      </c>
      <c r="D95" s="9" t="s">
        <v>274</v>
      </c>
      <c r="E95" s="25">
        <f>'[9]Плеханова 3 с 01.09.18'!$D$18*4*E2</f>
        <v>182595.43536000003</v>
      </c>
      <c r="F95" s="29">
        <f>531171.87*J95</f>
        <v>474260.59821428574</v>
      </c>
      <c r="G95" s="22">
        <f>'[1]ук(2016)'!$DC$84</f>
        <v>435955.08684</v>
      </c>
      <c r="H95" s="25">
        <v>269378.35</v>
      </c>
      <c r="I95" s="13">
        <v>269478.35</v>
      </c>
      <c r="J95" s="19">
        <v>0.8928571428571429</v>
      </c>
      <c r="K95" s="29">
        <v>7</v>
      </c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s="11" customFormat="1" ht="15.75">
      <c r="A96" s="15"/>
      <c r="B96" s="9" t="s">
        <v>74</v>
      </c>
      <c r="C96" s="9" t="s">
        <v>34</v>
      </c>
      <c r="D96" s="9" t="s">
        <v>2</v>
      </c>
      <c r="E96" s="13"/>
      <c r="F96" s="29"/>
      <c r="G96" s="29"/>
      <c r="H96" s="29"/>
      <c r="I96" s="13">
        <v>103500</v>
      </c>
      <c r="J96" s="19">
        <v>0.8928571428571429</v>
      </c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s="11" customFormat="1" ht="15.75">
      <c r="A97" s="15"/>
      <c r="B97" s="9" t="s">
        <v>31</v>
      </c>
      <c r="C97" s="9" t="s">
        <v>34</v>
      </c>
      <c r="D97" s="9" t="s">
        <v>7</v>
      </c>
      <c r="E97" s="13"/>
      <c r="F97" s="29"/>
      <c r="G97" s="29"/>
      <c r="H97" s="29"/>
      <c r="I97" s="13"/>
      <c r="J97" s="19">
        <v>0.8928571428571429</v>
      </c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s="11" customFormat="1" ht="15.75">
      <c r="A98" s="15"/>
      <c r="B98" s="9" t="s">
        <v>75</v>
      </c>
      <c r="C98" s="9" t="s">
        <v>40</v>
      </c>
      <c r="D98" s="44">
        <f>E95/K95</f>
        <v>26085.062194285718</v>
      </c>
      <c r="E98" s="13"/>
      <c r="F98" s="29"/>
      <c r="G98" s="29"/>
      <c r="H98" s="29"/>
      <c r="I98" s="13"/>
      <c r="J98" s="19">
        <v>0.8928571428571429</v>
      </c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s="11" customFormat="1" ht="31.5">
      <c r="A99" s="15"/>
      <c r="B99" s="9" t="s">
        <v>73</v>
      </c>
      <c r="C99" s="9" t="s">
        <v>34</v>
      </c>
      <c r="D99" s="9" t="s">
        <v>275</v>
      </c>
      <c r="E99" s="24">
        <v>23177</v>
      </c>
      <c r="F99" s="29">
        <f>52047.5</f>
        <v>52047.5</v>
      </c>
      <c r="G99" s="22">
        <f>'[1]ук(2016)'!$DC$85</f>
        <v>42763.98672</v>
      </c>
      <c r="H99" s="13">
        <v>103500</v>
      </c>
      <c r="I99" s="13">
        <f>1470.72+441.92</f>
        <v>1912.64</v>
      </c>
      <c r="J99" s="19">
        <v>0.8928571428571429</v>
      </c>
      <c r="K99" s="29">
        <v>7</v>
      </c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s="11" customFormat="1" ht="15.75">
      <c r="A100" s="15"/>
      <c r="B100" s="9" t="s">
        <v>74</v>
      </c>
      <c r="C100" s="9" t="s">
        <v>34</v>
      </c>
      <c r="D100" s="9" t="s">
        <v>96</v>
      </c>
      <c r="E100" s="13"/>
      <c r="F100" s="29"/>
      <c r="G100" s="29"/>
      <c r="H100" s="13"/>
      <c r="I100" s="13"/>
      <c r="J100" s="19">
        <v>0.8928571428571429</v>
      </c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s="11" customFormat="1" ht="15.75">
      <c r="A101" s="15"/>
      <c r="B101" s="9" t="s">
        <v>31</v>
      </c>
      <c r="C101" s="9" t="s">
        <v>34</v>
      </c>
      <c r="D101" s="9" t="s">
        <v>7</v>
      </c>
      <c r="E101" s="13"/>
      <c r="F101" s="29"/>
      <c r="G101" s="29"/>
      <c r="H101" s="13"/>
      <c r="I101" s="13"/>
      <c r="J101" s="19">
        <v>0.8928571428571429</v>
      </c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s="11" customFormat="1" ht="15.75">
      <c r="A102" s="15"/>
      <c r="B102" s="9" t="s">
        <v>75</v>
      </c>
      <c r="C102" s="9" t="s">
        <v>40</v>
      </c>
      <c r="D102" s="44">
        <f>E99/K99</f>
        <v>3311</v>
      </c>
      <c r="E102" s="13"/>
      <c r="F102" s="29"/>
      <c r="G102" s="29"/>
      <c r="H102" s="13"/>
      <c r="I102" s="13"/>
      <c r="J102" s="19">
        <v>0.8928571428571429</v>
      </c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s="11" customFormat="1" ht="31.5">
      <c r="A103" s="15"/>
      <c r="B103" s="9" t="s">
        <v>73</v>
      </c>
      <c r="C103" s="9" t="s">
        <v>34</v>
      </c>
      <c r="D103" s="9" t="s">
        <v>280</v>
      </c>
      <c r="E103" s="24">
        <f>'[8]Подметание полов,влаж уборка '!$GL$10</f>
        <v>3676.7978000000003</v>
      </c>
      <c r="F103" s="29">
        <f>11654.81*J103</f>
        <v>10406.080357142857</v>
      </c>
      <c r="G103" s="22">
        <f>'[1]ук(2016)'!$DC$86</f>
        <v>9503.10816</v>
      </c>
      <c r="H103" s="13">
        <f>3652.37+1470.72+367.68</f>
        <v>5490.77</v>
      </c>
      <c r="I103" s="13">
        <f>1838.4+367.68</f>
        <v>2206.08</v>
      </c>
      <c r="J103" s="19">
        <v>0.8928571428571429</v>
      </c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s="11" customFormat="1" ht="15.75">
      <c r="A104" s="15"/>
      <c r="B104" s="9" t="s">
        <v>74</v>
      </c>
      <c r="C104" s="9" t="s">
        <v>34</v>
      </c>
      <c r="D104" s="9" t="s">
        <v>13</v>
      </c>
      <c r="E104" s="13"/>
      <c r="F104" s="29"/>
      <c r="G104" s="29"/>
      <c r="H104" s="13"/>
      <c r="I104" s="13"/>
      <c r="J104" s="19">
        <v>0.8928571428571429</v>
      </c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s="11" customFormat="1" ht="15.75">
      <c r="A105" s="15"/>
      <c r="B105" s="9" t="s">
        <v>31</v>
      </c>
      <c r="C105" s="9" t="s">
        <v>34</v>
      </c>
      <c r="D105" s="9" t="s">
        <v>3</v>
      </c>
      <c r="E105" s="13"/>
      <c r="F105" s="29"/>
      <c r="G105" s="29"/>
      <c r="H105" s="13"/>
      <c r="I105" s="13"/>
      <c r="J105" s="19">
        <v>0.8928571428571429</v>
      </c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s="11" customFormat="1" ht="15.75">
      <c r="A106" s="15"/>
      <c r="B106" s="9" t="s">
        <v>75</v>
      </c>
      <c r="C106" s="9" t="s">
        <v>40</v>
      </c>
      <c r="D106" s="44">
        <f>E103/E2</f>
        <v>0.26</v>
      </c>
      <c r="E106" s="13"/>
      <c r="F106" s="29"/>
      <c r="G106" s="29"/>
      <c r="H106" s="13"/>
      <c r="I106" s="13"/>
      <c r="J106" s="19">
        <v>0.8928571428571429</v>
      </c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s="11" customFormat="1" ht="31.5">
      <c r="A107" s="15"/>
      <c r="B107" s="9" t="s">
        <v>73</v>
      </c>
      <c r="C107" s="9" t="s">
        <v>34</v>
      </c>
      <c r="D107" s="9" t="s">
        <v>281</v>
      </c>
      <c r="E107" s="24">
        <f>'[8]Протирка стен,дверей'!$BD$10</f>
        <v>1696.9836</v>
      </c>
      <c r="F107" s="29">
        <f>5268.61*J107</f>
        <v>4704.116071428572</v>
      </c>
      <c r="G107" s="22">
        <f>'[1]ук(2016)'!$DC$88</f>
        <v>4242.459000000001</v>
      </c>
      <c r="H107" s="13">
        <f>441.92+1343.45</f>
        <v>1785.3700000000001</v>
      </c>
      <c r="I107" s="13">
        <f>3864.49</f>
        <v>3864.49</v>
      </c>
      <c r="J107" s="19">
        <v>0.8928571428571429</v>
      </c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s="11" customFormat="1" ht="15.75">
      <c r="A108" s="15"/>
      <c r="B108" s="9" t="s">
        <v>74</v>
      </c>
      <c r="C108" s="9" t="s">
        <v>34</v>
      </c>
      <c r="D108" s="9" t="s">
        <v>14</v>
      </c>
      <c r="E108" s="13"/>
      <c r="F108" s="29"/>
      <c r="G108" s="29"/>
      <c r="H108" s="29"/>
      <c r="I108" s="13"/>
      <c r="J108" s="19">
        <v>0.8928571428571429</v>
      </c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s="11" customFormat="1" ht="15.75">
      <c r="A109" s="15"/>
      <c r="B109" s="9" t="s">
        <v>31</v>
      </c>
      <c r="C109" s="9" t="s">
        <v>34</v>
      </c>
      <c r="D109" s="9" t="s">
        <v>3</v>
      </c>
      <c r="E109" s="13"/>
      <c r="F109" s="29"/>
      <c r="G109" s="29"/>
      <c r="H109" s="29"/>
      <c r="I109" s="13"/>
      <c r="J109" s="19">
        <v>0.8928571428571429</v>
      </c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s="11" customFormat="1" ht="15.75">
      <c r="A110" s="15"/>
      <c r="B110" s="9" t="s">
        <v>75</v>
      </c>
      <c r="C110" s="9" t="s">
        <v>40</v>
      </c>
      <c r="D110" s="44">
        <f>E107/E2</f>
        <v>0.12</v>
      </c>
      <c r="E110" s="13"/>
      <c r="F110" s="29"/>
      <c r="G110" s="29"/>
      <c r="H110" s="29"/>
      <c r="I110" s="13"/>
      <c r="J110" s="19">
        <v>0.8928571428571429</v>
      </c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s="11" customFormat="1" ht="31.5" hidden="1">
      <c r="A111" s="15"/>
      <c r="B111" s="12" t="s">
        <v>71</v>
      </c>
      <c r="C111" s="12" t="s">
        <v>34</v>
      </c>
      <c r="D111" s="12" t="s">
        <v>21</v>
      </c>
      <c r="E111" s="13"/>
      <c r="F111" s="29"/>
      <c r="G111" s="29"/>
      <c r="H111" s="29"/>
      <c r="I111" s="13">
        <f>0</f>
        <v>0</v>
      </c>
      <c r="J111" s="19">
        <v>0.8928571428571429</v>
      </c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s="11" customFormat="1" ht="15.75" hidden="1">
      <c r="A112" s="15"/>
      <c r="B112" s="9" t="s">
        <v>72</v>
      </c>
      <c r="C112" s="9" t="s">
        <v>40</v>
      </c>
      <c r="D112" s="21">
        <f>E113</f>
        <v>0</v>
      </c>
      <c r="E112" s="13"/>
      <c r="F112" s="29"/>
      <c r="G112" s="29"/>
      <c r="H112" s="29"/>
      <c r="I112" s="13"/>
      <c r="J112" s="19">
        <v>0.8928571428571429</v>
      </c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23" s="11" customFormat="1" ht="47.25" hidden="1">
      <c r="A113" s="15"/>
      <c r="B113" s="9" t="s">
        <v>73</v>
      </c>
      <c r="C113" s="9" t="s">
        <v>34</v>
      </c>
      <c r="D113" s="9" t="s">
        <v>273</v>
      </c>
      <c r="E113" s="24"/>
      <c r="F113" s="29">
        <v>19111.23</v>
      </c>
      <c r="G113" s="22">
        <f>'[1]ук(2016)'!$DC$37</f>
        <v>15612.24912</v>
      </c>
      <c r="H113" s="22"/>
      <c r="I113" s="13"/>
      <c r="J113" s="19">
        <v>0.8928571428571429</v>
      </c>
      <c r="K113" s="29" t="s">
        <v>321</v>
      </c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s="11" customFormat="1" ht="15.75" hidden="1">
      <c r="A114" s="15"/>
      <c r="B114" s="9" t="s">
        <v>74</v>
      </c>
      <c r="C114" s="9" t="s">
        <v>34</v>
      </c>
      <c r="D114" s="9" t="s">
        <v>96</v>
      </c>
      <c r="E114" s="13"/>
      <c r="F114" s="29"/>
      <c r="G114" s="29"/>
      <c r="H114" s="29"/>
      <c r="I114" s="13"/>
      <c r="J114" s="19">
        <v>0.8928571428571429</v>
      </c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s="11" customFormat="1" ht="15.75" hidden="1">
      <c r="A115" s="15"/>
      <c r="B115" s="9" t="s">
        <v>31</v>
      </c>
      <c r="C115" s="9" t="s">
        <v>34</v>
      </c>
      <c r="D115" s="9" t="s">
        <v>3</v>
      </c>
      <c r="E115" s="13"/>
      <c r="F115" s="29"/>
      <c r="G115" s="29"/>
      <c r="H115" s="29"/>
      <c r="I115" s="13"/>
      <c r="J115" s="19">
        <v>0.8928571428571429</v>
      </c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1:23" s="11" customFormat="1" ht="15.75" hidden="1">
      <c r="A116" s="15"/>
      <c r="B116" s="9" t="s">
        <v>75</v>
      </c>
      <c r="C116" s="9" t="s">
        <v>40</v>
      </c>
      <c r="D116" s="16">
        <f>E113/E2</f>
        <v>0</v>
      </c>
      <c r="E116" s="13"/>
      <c r="F116" s="29"/>
      <c r="G116" s="29"/>
      <c r="H116" s="29"/>
      <c r="I116" s="13"/>
      <c r="J116" s="19">
        <v>0.8928571428571429</v>
      </c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1:23" s="14" customFormat="1" ht="31.5">
      <c r="A117" s="30" t="s">
        <v>97</v>
      </c>
      <c r="B117" s="12" t="s">
        <v>71</v>
      </c>
      <c r="C117" s="12" t="s">
        <v>34</v>
      </c>
      <c r="D117" s="12" t="s">
        <v>22</v>
      </c>
      <c r="E117" s="29"/>
      <c r="F117" s="13">
        <v>4590.08</v>
      </c>
      <c r="G117" s="13"/>
      <c r="H117" s="13"/>
      <c r="I117" s="29">
        <v>6000.68</v>
      </c>
      <c r="J117" s="19">
        <v>0.8928571428571429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s="11" customFormat="1" ht="15.75">
      <c r="A118" s="15" t="s">
        <v>98</v>
      </c>
      <c r="B118" s="9" t="s">
        <v>72</v>
      </c>
      <c r="C118" s="9" t="s">
        <v>40</v>
      </c>
      <c r="D118" s="21">
        <f>E119+E123</f>
        <v>5709.98</v>
      </c>
      <c r="E118" s="29"/>
      <c r="F118" s="29"/>
      <c r="G118" s="29"/>
      <c r="H118" s="29"/>
      <c r="I118" s="29"/>
      <c r="J118" s="19">
        <v>0.8928571428571429</v>
      </c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s="11" customFormat="1" ht="31.5">
      <c r="A119" s="15" t="s">
        <v>99</v>
      </c>
      <c r="B119" s="9" t="s">
        <v>73</v>
      </c>
      <c r="C119" s="9" t="s">
        <v>34</v>
      </c>
      <c r="D119" s="9" t="s">
        <v>267</v>
      </c>
      <c r="E119" s="22">
        <f>'[5]восстан.вент'!$K$188+'[5]дымивент'!$S$190</f>
        <v>5709.98</v>
      </c>
      <c r="F119" s="29"/>
      <c r="G119" s="22">
        <f>'[1]ук(2016)'!$DC$76</f>
        <v>3733.36392</v>
      </c>
      <c r="H119" s="29">
        <v>1168.72</v>
      </c>
      <c r="I119" s="29"/>
      <c r="J119" s="19">
        <v>0.8928571428571429</v>
      </c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s="11" customFormat="1" ht="15.75">
      <c r="A120" s="15" t="s">
        <v>100</v>
      </c>
      <c r="B120" s="9" t="s">
        <v>74</v>
      </c>
      <c r="C120" s="9" t="s">
        <v>34</v>
      </c>
      <c r="D120" s="9" t="s">
        <v>17</v>
      </c>
      <c r="E120" s="29"/>
      <c r="F120" s="29"/>
      <c r="G120" s="29"/>
      <c r="H120" s="29"/>
      <c r="I120" s="29"/>
      <c r="J120" s="19">
        <v>0.8928571428571429</v>
      </c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1:23" s="11" customFormat="1" ht="15.75">
      <c r="A121" s="15" t="s">
        <v>101</v>
      </c>
      <c r="B121" s="9" t="s">
        <v>31</v>
      </c>
      <c r="C121" s="9" t="s">
        <v>34</v>
      </c>
      <c r="D121" s="9" t="s">
        <v>3</v>
      </c>
      <c r="E121" s="29"/>
      <c r="F121" s="29"/>
      <c r="G121" s="29"/>
      <c r="H121" s="29"/>
      <c r="I121" s="29"/>
      <c r="J121" s="19">
        <v>0.8928571428571429</v>
      </c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1:23" s="11" customFormat="1" ht="15.75">
      <c r="A122" s="15" t="s">
        <v>102</v>
      </c>
      <c r="B122" s="9" t="s">
        <v>75</v>
      </c>
      <c r="C122" s="9" t="s">
        <v>40</v>
      </c>
      <c r="D122" s="16">
        <f>E119/E2</f>
        <v>0.4037738490813935</v>
      </c>
      <c r="E122" s="29"/>
      <c r="F122" s="29"/>
      <c r="G122" s="29"/>
      <c r="H122" s="29"/>
      <c r="I122" s="29"/>
      <c r="J122" s="19">
        <v>0.8928571428571429</v>
      </c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s="11" customFormat="1" ht="31.5" hidden="1">
      <c r="A123" s="15" t="s">
        <v>99</v>
      </c>
      <c r="B123" s="9" t="s">
        <v>73</v>
      </c>
      <c r="C123" s="9" t="s">
        <v>34</v>
      </c>
      <c r="D123" s="9" t="s">
        <v>270</v>
      </c>
      <c r="E123" s="22"/>
      <c r="F123" s="29">
        <v>12373.26</v>
      </c>
      <c r="G123" s="22">
        <f>'[1]ук(2016)'!$DC$78</f>
        <v>10181.901600000001</v>
      </c>
      <c r="H123" s="29">
        <v>4831.96</v>
      </c>
      <c r="I123" s="29"/>
      <c r="J123" s="19">
        <v>0.8928571428571429</v>
      </c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s="11" customFormat="1" ht="15.75" hidden="1">
      <c r="A124" s="15" t="s">
        <v>100</v>
      </c>
      <c r="B124" s="9" t="s">
        <v>74</v>
      </c>
      <c r="C124" s="9" t="s">
        <v>34</v>
      </c>
      <c r="D124" s="9" t="s">
        <v>269</v>
      </c>
      <c r="E124" s="29"/>
      <c r="F124" s="29"/>
      <c r="G124" s="29"/>
      <c r="H124" s="29"/>
      <c r="I124" s="29"/>
      <c r="J124" s="19">
        <v>0.8928571428571429</v>
      </c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s="11" customFormat="1" ht="15.75" hidden="1">
      <c r="A125" s="15" t="s">
        <v>101</v>
      </c>
      <c r="B125" s="9" t="s">
        <v>31</v>
      </c>
      <c r="C125" s="9" t="s">
        <v>34</v>
      </c>
      <c r="D125" s="9" t="s">
        <v>3</v>
      </c>
      <c r="E125" s="29"/>
      <c r="F125" s="29"/>
      <c r="G125" s="29"/>
      <c r="H125" s="29"/>
      <c r="I125" s="29"/>
      <c r="J125" s="19">
        <v>0.8928571428571429</v>
      </c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s="11" customFormat="1" ht="15.75" hidden="1">
      <c r="A126" s="15" t="s">
        <v>102</v>
      </c>
      <c r="B126" s="9" t="s">
        <v>75</v>
      </c>
      <c r="C126" s="9" t="s">
        <v>40</v>
      </c>
      <c r="D126" s="16">
        <f>E123/E2</f>
        <v>0</v>
      </c>
      <c r="E126" s="29"/>
      <c r="F126" s="29"/>
      <c r="G126" s="29"/>
      <c r="H126" s="29"/>
      <c r="I126" s="29"/>
      <c r="J126" s="19">
        <v>0.8928571428571429</v>
      </c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s="14" customFormat="1" ht="47.25">
      <c r="A127" s="30" t="s">
        <v>111</v>
      </c>
      <c r="B127" s="12" t="s">
        <v>71</v>
      </c>
      <c r="C127" s="12" t="s">
        <v>34</v>
      </c>
      <c r="D127" s="12" t="s">
        <v>9</v>
      </c>
      <c r="E127" s="13"/>
      <c r="F127" s="9" t="s">
        <v>234</v>
      </c>
      <c r="G127" s="13"/>
      <c r="H127" s="13"/>
      <c r="I127" s="13"/>
      <c r="J127" s="19">
        <v>0.8928571428571429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s="11" customFormat="1" ht="15.75">
      <c r="A128" s="15" t="s">
        <v>112</v>
      </c>
      <c r="B128" s="9" t="s">
        <v>72</v>
      </c>
      <c r="C128" s="9" t="s">
        <v>40</v>
      </c>
      <c r="D128" s="21">
        <f>E129+E133</f>
        <v>354.69</v>
      </c>
      <c r="E128" s="29"/>
      <c r="F128" s="9">
        <v>1962.2</v>
      </c>
      <c r="G128" s="29"/>
      <c r="H128" s="29"/>
      <c r="I128" s="29"/>
      <c r="J128" s="19">
        <v>0.8928571428571429</v>
      </c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s="11" customFormat="1" ht="31.5">
      <c r="A129" s="15" t="s">
        <v>113</v>
      </c>
      <c r="B129" s="9" t="s">
        <v>73</v>
      </c>
      <c r="C129" s="9" t="s">
        <v>34</v>
      </c>
      <c r="D129" s="9" t="s">
        <v>284</v>
      </c>
      <c r="E129" s="29">
        <v>0</v>
      </c>
      <c r="F129" s="47">
        <v>7344.13</v>
      </c>
      <c r="G129" s="22"/>
      <c r="H129" s="22"/>
      <c r="I129" s="29">
        <v>0</v>
      </c>
      <c r="J129" s="19">
        <v>0.8928571428571429</v>
      </c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s="11" customFormat="1" ht="15.75">
      <c r="A130" s="15" t="s">
        <v>114</v>
      </c>
      <c r="B130" s="9" t="s">
        <v>74</v>
      </c>
      <c r="C130" s="9" t="s">
        <v>34</v>
      </c>
      <c r="D130" s="9" t="s">
        <v>17</v>
      </c>
      <c r="E130" s="29"/>
      <c r="F130" s="47"/>
      <c r="G130" s="29"/>
      <c r="H130" s="29"/>
      <c r="I130" s="29"/>
      <c r="J130" s="19">
        <v>0.8928571428571429</v>
      </c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s="11" customFormat="1" ht="15.75">
      <c r="A131" s="15" t="s">
        <v>115</v>
      </c>
      <c r="B131" s="9" t="s">
        <v>31</v>
      </c>
      <c r="C131" s="9" t="s">
        <v>34</v>
      </c>
      <c r="D131" s="9" t="s">
        <v>3</v>
      </c>
      <c r="E131" s="29"/>
      <c r="F131" s="29"/>
      <c r="G131" s="29"/>
      <c r="H131" s="29"/>
      <c r="I131" s="29"/>
      <c r="J131" s="19">
        <v>0.8928571428571429</v>
      </c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s="11" customFormat="1" ht="15.75">
      <c r="A132" s="15" t="s">
        <v>116</v>
      </c>
      <c r="B132" s="9" t="s">
        <v>75</v>
      </c>
      <c r="C132" s="9" t="s">
        <v>40</v>
      </c>
      <c r="D132" s="16">
        <f>E129/F128</f>
        <v>0</v>
      </c>
      <c r="E132" s="29"/>
      <c r="F132" s="9"/>
      <c r="G132" s="29"/>
      <c r="H132" s="29"/>
      <c r="I132" s="29"/>
      <c r="J132" s="19">
        <v>0.8928571428571429</v>
      </c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3" s="11" customFormat="1" ht="31.5">
      <c r="A133" s="15" t="s">
        <v>117</v>
      </c>
      <c r="B133" s="9" t="s">
        <v>73</v>
      </c>
      <c r="C133" s="9" t="s">
        <v>34</v>
      </c>
      <c r="D133" s="9" t="s">
        <v>287</v>
      </c>
      <c r="E133" s="22">
        <f>'[6]Выполненные работы 2018 г.'!$FW$171</f>
        <v>354.69</v>
      </c>
      <c r="F133" s="9">
        <v>1756.2</v>
      </c>
      <c r="G133" s="22">
        <f>'[1]ук(2016)'!$DC$67</f>
        <v>5939.4426</v>
      </c>
      <c r="H133" s="29">
        <v>1756.2</v>
      </c>
      <c r="I133" s="29">
        <v>1064.07</v>
      </c>
      <c r="J133" s="19">
        <v>0.8928571428571429</v>
      </c>
      <c r="K133" s="22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3" s="11" customFormat="1" ht="15.75">
      <c r="A134" s="15" t="s">
        <v>118</v>
      </c>
      <c r="B134" s="9" t="s">
        <v>74</v>
      </c>
      <c r="C134" s="9" t="s">
        <v>34</v>
      </c>
      <c r="D134" s="9" t="s">
        <v>283</v>
      </c>
      <c r="E134" s="29"/>
      <c r="F134" s="29"/>
      <c r="G134" s="29"/>
      <c r="H134" s="29"/>
      <c r="I134" s="29"/>
      <c r="J134" s="19">
        <v>0.8928571428571429</v>
      </c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3" s="11" customFormat="1" ht="15.75">
      <c r="A135" s="15" t="s">
        <v>119</v>
      </c>
      <c r="B135" s="9" t="s">
        <v>31</v>
      </c>
      <c r="C135" s="9" t="s">
        <v>34</v>
      </c>
      <c r="D135" s="9" t="s">
        <v>3</v>
      </c>
      <c r="E135" s="29"/>
      <c r="F135" s="29"/>
      <c r="G135" s="29"/>
      <c r="H135" s="29"/>
      <c r="I135" s="29"/>
      <c r="J135" s="19">
        <v>0.8928571428571429</v>
      </c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3" s="11" customFormat="1" ht="15.75">
      <c r="A136" s="15" t="s">
        <v>120</v>
      </c>
      <c r="B136" s="9" t="s">
        <v>75</v>
      </c>
      <c r="C136" s="9" t="s">
        <v>40</v>
      </c>
      <c r="D136" s="16">
        <f>E133/E2</f>
        <v>0.02508144451130818</v>
      </c>
      <c r="E136" s="29"/>
      <c r="F136" s="29"/>
      <c r="G136" s="29"/>
      <c r="H136" s="29"/>
      <c r="I136" s="29"/>
      <c r="J136" s="19">
        <v>0.8928571428571429</v>
      </c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1:23" s="14" customFormat="1" ht="63">
      <c r="A137" s="30" t="s">
        <v>121</v>
      </c>
      <c r="B137" s="12" t="s">
        <v>71</v>
      </c>
      <c r="C137" s="12" t="s">
        <v>34</v>
      </c>
      <c r="D137" s="12" t="s">
        <v>12</v>
      </c>
      <c r="E137" s="13"/>
      <c r="F137" s="29"/>
      <c r="G137" s="13"/>
      <c r="H137" s="13"/>
      <c r="I137" s="13"/>
      <c r="J137" s="19">
        <v>0.8928571428571429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s="11" customFormat="1" ht="15.75">
      <c r="A138" s="15" t="s">
        <v>122</v>
      </c>
      <c r="B138" s="9" t="s">
        <v>72</v>
      </c>
      <c r="C138" s="9" t="s">
        <v>40</v>
      </c>
      <c r="D138" s="21">
        <f>E139+E143+E147+E151+E155+E159+E163+E167+E171+E175+E179+E183+E187+E195+E199+E203</f>
        <v>290061.82573776186</v>
      </c>
      <c r="E138" s="29"/>
      <c r="F138" s="29"/>
      <c r="G138" s="29"/>
      <c r="H138" s="29"/>
      <c r="I138" s="29"/>
      <c r="J138" s="19">
        <v>0.8928571428571429</v>
      </c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1:23" s="11" customFormat="1" ht="31.5" hidden="1">
      <c r="A139" s="15" t="s">
        <v>123</v>
      </c>
      <c r="B139" s="9" t="s">
        <v>73</v>
      </c>
      <c r="C139" s="9" t="s">
        <v>34</v>
      </c>
      <c r="D139" s="9" t="s">
        <v>288</v>
      </c>
      <c r="E139" s="29">
        <v>0</v>
      </c>
      <c r="F139" s="29"/>
      <c r="G139" s="22">
        <f>'[1]ук(2016)'!$DC$62</f>
        <v>5600.045880000001</v>
      </c>
      <c r="H139" s="22"/>
      <c r="I139" s="29">
        <f>291.32+4907.11+2903.26</f>
        <v>8101.69</v>
      </c>
      <c r="J139" s="19">
        <v>0.8928571428571429</v>
      </c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1:23" s="11" customFormat="1" ht="15.75" hidden="1">
      <c r="A140" s="15" t="s">
        <v>124</v>
      </c>
      <c r="B140" s="9" t="s">
        <v>74</v>
      </c>
      <c r="C140" s="9" t="s">
        <v>34</v>
      </c>
      <c r="D140" s="9" t="s">
        <v>14</v>
      </c>
      <c r="E140" s="29"/>
      <c r="F140" s="29"/>
      <c r="G140" s="29"/>
      <c r="H140" s="29"/>
      <c r="I140" s="29"/>
      <c r="J140" s="19">
        <v>0.8928571428571429</v>
      </c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 spans="1:23" s="11" customFormat="1" ht="15.75" hidden="1">
      <c r="A141" s="15" t="s">
        <v>125</v>
      </c>
      <c r="B141" s="9" t="s">
        <v>31</v>
      </c>
      <c r="C141" s="9" t="s">
        <v>34</v>
      </c>
      <c r="D141" s="9" t="s">
        <v>3</v>
      </c>
      <c r="E141" s="29"/>
      <c r="F141" s="29"/>
      <c r="G141" s="29"/>
      <c r="H141" s="29"/>
      <c r="I141" s="29"/>
      <c r="J141" s="19">
        <v>0.8928571428571429</v>
      </c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 spans="1:23" s="11" customFormat="1" ht="15.75" hidden="1">
      <c r="A142" s="15" t="s">
        <v>126</v>
      </c>
      <c r="B142" s="9" t="s">
        <v>75</v>
      </c>
      <c r="C142" s="9" t="s">
        <v>40</v>
      </c>
      <c r="D142" s="16">
        <f>E139/E2</f>
        <v>0</v>
      </c>
      <c r="E142" s="29"/>
      <c r="F142" s="29"/>
      <c r="G142" s="29"/>
      <c r="H142" s="29"/>
      <c r="I142" s="29"/>
      <c r="J142" s="19">
        <v>0.8928571428571429</v>
      </c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1:23" s="11" customFormat="1" ht="31.5">
      <c r="A143" s="15" t="s">
        <v>127</v>
      </c>
      <c r="B143" s="9" t="s">
        <v>73</v>
      </c>
      <c r="C143" s="9" t="s">
        <v>34</v>
      </c>
      <c r="D143" s="9" t="s">
        <v>289</v>
      </c>
      <c r="E143" s="22">
        <f>'[7]Сдвиж снега при отсутств снегоп'!$R$8</f>
        <v>1821.4290640000002</v>
      </c>
      <c r="F143" s="29">
        <f>2318.65+15612.25+6441.47+29839.58</f>
        <v>54211.950000000004</v>
      </c>
      <c r="G143" s="22">
        <f>'[1]ук(2016)'!$DC$47</f>
        <v>24775.96056</v>
      </c>
      <c r="H143" s="29">
        <f>6441.47+8866.74</f>
        <v>15308.21</v>
      </c>
      <c r="I143" s="29">
        <f>2318.65+15612.25+6441.47+29839.58</f>
        <v>54211.950000000004</v>
      </c>
      <c r="J143" s="19">
        <v>0.8928571428571429</v>
      </c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1:23" s="11" customFormat="1" ht="15.75">
      <c r="A144" s="15" t="s">
        <v>128</v>
      </c>
      <c r="B144" s="9" t="s">
        <v>74</v>
      </c>
      <c r="C144" s="9" t="s">
        <v>34</v>
      </c>
      <c r="D144" s="9" t="s">
        <v>311</v>
      </c>
      <c r="E144" s="29"/>
      <c r="F144" s="29"/>
      <c r="G144" s="29"/>
      <c r="H144" s="29"/>
      <c r="I144" s="29"/>
      <c r="J144" s="19">
        <v>0.8928571428571429</v>
      </c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s="11" customFormat="1" ht="15.75">
      <c r="A145" s="15" t="s">
        <v>129</v>
      </c>
      <c r="B145" s="9" t="s">
        <v>31</v>
      </c>
      <c r="C145" s="9" t="s">
        <v>34</v>
      </c>
      <c r="D145" s="9" t="s">
        <v>3</v>
      </c>
      <c r="E145" s="29"/>
      <c r="F145" s="29"/>
      <c r="G145" s="29"/>
      <c r="H145" s="29"/>
      <c r="I145" s="29"/>
      <c r="J145" s="19">
        <v>0.8928571428571429</v>
      </c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s="11" customFormat="1" ht="15.75">
      <c r="A146" s="15" t="s">
        <v>130</v>
      </c>
      <c r="B146" s="9" t="s">
        <v>75</v>
      </c>
      <c r="C146" s="9" t="s">
        <v>40</v>
      </c>
      <c r="D146" s="16">
        <f>E143/E2</f>
        <v>0.1288</v>
      </c>
      <c r="E146" s="29"/>
      <c r="F146" s="29"/>
      <c r="G146" s="29"/>
      <c r="H146" s="29"/>
      <c r="I146" s="29"/>
      <c r="J146" s="19">
        <v>0.8928571428571429</v>
      </c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s="11" customFormat="1" ht="31.5">
      <c r="A147" s="15" t="s">
        <v>127</v>
      </c>
      <c r="B147" s="9" t="s">
        <v>73</v>
      </c>
      <c r="C147" s="9" t="s">
        <v>34</v>
      </c>
      <c r="D147" s="9" t="s">
        <v>293</v>
      </c>
      <c r="E147" s="22">
        <f>'[7]Сдвиж снега при снегопаде вруч'!$M$8</f>
        <v>32344.507416</v>
      </c>
      <c r="F147" s="29"/>
      <c r="G147" s="22">
        <f>'[1]ук(2016)'!$DC$48</f>
        <v>66182.3604</v>
      </c>
      <c r="H147" s="29">
        <f>17207.41</f>
        <v>17207.41</v>
      </c>
      <c r="I147" s="29"/>
      <c r="J147" s="19">
        <v>0.8928571428571429</v>
      </c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s="11" customFormat="1" ht="15.75">
      <c r="A148" s="15" t="s">
        <v>128</v>
      </c>
      <c r="B148" s="9" t="s">
        <v>74</v>
      </c>
      <c r="C148" s="9" t="s">
        <v>34</v>
      </c>
      <c r="D148" s="9" t="s">
        <v>312</v>
      </c>
      <c r="E148" s="29"/>
      <c r="F148" s="29"/>
      <c r="G148" s="29"/>
      <c r="H148" s="29"/>
      <c r="I148" s="29"/>
      <c r="J148" s="19">
        <v>0.8928571428571429</v>
      </c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3" s="11" customFormat="1" ht="15.75">
      <c r="A149" s="15" t="s">
        <v>129</v>
      </c>
      <c r="B149" s="9" t="s">
        <v>31</v>
      </c>
      <c r="C149" s="9" t="s">
        <v>34</v>
      </c>
      <c r="D149" s="9" t="s">
        <v>3</v>
      </c>
      <c r="E149" s="29"/>
      <c r="F149" s="29"/>
      <c r="G149" s="29"/>
      <c r="H149" s="29"/>
      <c r="I149" s="29"/>
      <c r="J149" s="19">
        <v>0.8928571428571429</v>
      </c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s="11" customFormat="1" ht="15.75">
      <c r="A150" s="15" t="s">
        <v>130</v>
      </c>
      <c r="B150" s="9" t="s">
        <v>75</v>
      </c>
      <c r="C150" s="9" t="s">
        <v>40</v>
      </c>
      <c r="D150" s="16">
        <f>E147/E2</f>
        <v>2.2872</v>
      </c>
      <c r="E150" s="29"/>
      <c r="F150" s="29"/>
      <c r="G150" s="29"/>
      <c r="H150" s="29"/>
      <c r="I150" s="29"/>
      <c r="J150" s="19">
        <v>0.8928571428571429</v>
      </c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s="11" customFormat="1" ht="31.5">
      <c r="A151" s="15"/>
      <c r="B151" s="9" t="s">
        <v>73</v>
      </c>
      <c r="C151" s="9" t="s">
        <v>34</v>
      </c>
      <c r="D151" s="16" t="s">
        <v>313</v>
      </c>
      <c r="E151" s="29">
        <v>0</v>
      </c>
      <c r="F151" s="29"/>
      <c r="G151" s="29"/>
      <c r="H151" s="29"/>
      <c r="I151" s="29"/>
      <c r="J151" s="1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s="11" customFormat="1" ht="15.75">
      <c r="A152" s="15"/>
      <c r="B152" s="9" t="s">
        <v>74</v>
      </c>
      <c r="C152" s="9" t="s">
        <v>34</v>
      </c>
      <c r="D152" s="9" t="s">
        <v>314</v>
      </c>
      <c r="E152" s="29"/>
      <c r="F152" s="29"/>
      <c r="G152" s="29"/>
      <c r="H152" s="29"/>
      <c r="I152" s="29"/>
      <c r="J152" s="1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s="11" customFormat="1" ht="15.75">
      <c r="A153" s="15"/>
      <c r="B153" s="9" t="s">
        <v>31</v>
      </c>
      <c r="C153" s="9" t="s">
        <v>34</v>
      </c>
      <c r="D153" s="9" t="s">
        <v>3</v>
      </c>
      <c r="E153" s="29"/>
      <c r="F153" s="29"/>
      <c r="G153" s="29"/>
      <c r="H153" s="29"/>
      <c r="I153" s="29"/>
      <c r="J153" s="1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s="11" customFormat="1" ht="15.75">
      <c r="A154" s="15"/>
      <c r="B154" s="9" t="s">
        <v>75</v>
      </c>
      <c r="C154" s="9" t="s">
        <v>40</v>
      </c>
      <c r="D154" s="16">
        <f>E151/E2</f>
        <v>0</v>
      </c>
      <c r="E154" s="29"/>
      <c r="F154" s="29"/>
      <c r="G154" s="29"/>
      <c r="H154" s="29"/>
      <c r="I154" s="29"/>
      <c r="J154" s="1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s="11" customFormat="1" ht="31.5">
      <c r="A155" s="15" t="s">
        <v>127</v>
      </c>
      <c r="B155" s="9" t="s">
        <v>73</v>
      </c>
      <c r="C155" s="9" t="s">
        <v>34</v>
      </c>
      <c r="D155" s="9" t="s">
        <v>315</v>
      </c>
      <c r="E155" s="22">
        <f>'[2]Управл 2017'!$W$66/12*4</f>
        <v>1506.0733333333335</v>
      </c>
      <c r="F155" s="29"/>
      <c r="G155" s="22">
        <f>'[1]ук(2016)'!$DC$51</f>
        <v>5090.9508000000005</v>
      </c>
      <c r="H155" s="22"/>
      <c r="I155" s="29"/>
      <c r="J155" s="19">
        <v>0.8928571428571429</v>
      </c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1:23" s="11" customFormat="1" ht="15.75">
      <c r="A156" s="15" t="s">
        <v>128</v>
      </c>
      <c r="B156" s="9" t="s">
        <v>74</v>
      </c>
      <c r="C156" s="9" t="s">
        <v>34</v>
      </c>
      <c r="D156" s="9" t="s">
        <v>316</v>
      </c>
      <c r="E156" s="29"/>
      <c r="F156" s="29"/>
      <c r="G156" s="29"/>
      <c r="H156" s="29"/>
      <c r="I156" s="29"/>
      <c r="J156" s="19">
        <v>0.8928571428571429</v>
      </c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s="11" customFormat="1" ht="15.75">
      <c r="A157" s="15" t="s">
        <v>129</v>
      </c>
      <c r="B157" s="9" t="s">
        <v>31</v>
      </c>
      <c r="C157" s="9" t="s">
        <v>34</v>
      </c>
      <c r="D157" s="9" t="s">
        <v>3</v>
      </c>
      <c r="E157" s="29"/>
      <c r="F157" s="29"/>
      <c r="G157" s="29"/>
      <c r="H157" s="29"/>
      <c r="I157" s="29"/>
      <c r="J157" s="19">
        <v>0.8928571428571429</v>
      </c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s="11" customFormat="1" ht="15.75">
      <c r="A158" s="15" t="s">
        <v>130</v>
      </c>
      <c r="B158" s="9" t="s">
        <v>75</v>
      </c>
      <c r="C158" s="9" t="s">
        <v>40</v>
      </c>
      <c r="D158" s="16">
        <f>E155/E2</f>
        <v>0.10650002746048931</v>
      </c>
      <c r="E158" s="29"/>
      <c r="F158" s="29"/>
      <c r="G158" s="29"/>
      <c r="H158" s="29"/>
      <c r="I158" s="29"/>
      <c r="J158" s="19">
        <v>0.8928571428571429</v>
      </c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s="11" customFormat="1" ht="31.5">
      <c r="A159" s="15" t="s">
        <v>131</v>
      </c>
      <c r="B159" s="9" t="s">
        <v>73</v>
      </c>
      <c r="C159" s="9" t="s">
        <v>34</v>
      </c>
      <c r="D159" s="9" t="s">
        <v>290</v>
      </c>
      <c r="E159" s="22">
        <f>'[7]Уборка мусора на конт.площ.'!$HB$8</f>
        <v>4864.686320000001</v>
      </c>
      <c r="F159" s="29">
        <f>5382.27+4149.12+169.7</f>
        <v>9701.09</v>
      </c>
      <c r="G159" s="22">
        <f>'[1]ук(2016)'!$DC$53+'[1]ук(2016)'!$DC$60</f>
        <v>12048.583560000001</v>
      </c>
      <c r="H159" s="29">
        <f>2655.78+5382.27</f>
        <v>8038.050000000001</v>
      </c>
      <c r="I159" s="29">
        <f>5382.27+4149.12+169.7</f>
        <v>9701.09</v>
      </c>
      <c r="J159" s="19">
        <v>0.8928571428571429</v>
      </c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s="11" customFormat="1" ht="15.75">
      <c r="A160" s="15" t="s">
        <v>132</v>
      </c>
      <c r="B160" s="9" t="s">
        <v>74</v>
      </c>
      <c r="C160" s="9" t="s">
        <v>34</v>
      </c>
      <c r="D160" s="9" t="s">
        <v>318</v>
      </c>
      <c r="E160" s="29"/>
      <c r="F160" s="29"/>
      <c r="G160" s="29"/>
      <c r="H160" s="29"/>
      <c r="I160" s="29"/>
      <c r="J160" s="19">
        <v>0.8928571428571429</v>
      </c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1:23" s="11" customFormat="1" ht="15.75">
      <c r="A161" s="15" t="s">
        <v>133</v>
      </c>
      <c r="B161" s="9" t="s">
        <v>31</v>
      </c>
      <c r="C161" s="9" t="s">
        <v>34</v>
      </c>
      <c r="D161" s="9" t="s">
        <v>3</v>
      </c>
      <c r="E161" s="29"/>
      <c r="F161" s="29"/>
      <c r="G161" s="29"/>
      <c r="H161" s="29"/>
      <c r="I161" s="29"/>
      <c r="J161" s="19">
        <v>0.8928571428571429</v>
      </c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3" s="11" customFormat="1" ht="15.75">
      <c r="A162" s="15" t="s">
        <v>134</v>
      </c>
      <c r="B162" s="9" t="s">
        <v>75</v>
      </c>
      <c r="C162" s="9" t="s">
        <v>40</v>
      </c>
      <c r="D162" s="16">
        <f>E159/E2</f>
        <v>0.34400000000000003</v>
      </c>
      <c r="E162" s="29"/>
      <c r="F162" s="29"/>
      <c r="G162" s="29"/>
      <c r="H162" s="29"/>
      <c r="I162" s="29"/>
      <c r="J162" s="19">
        <v>0.8928571428571429</v>
      </c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s="11" customFormat="1" ht="31.5">
      <c r="A163" s="15" t="s">
        <v>135</v>
      </c>
      <c r="B163" s="9" t="s">
        <v>73</v>
      </c>
      <c r="C163" s="9" t="s">
        <v>34</v>
      </c>
      <c r="D163" s="9" t="s">
        <v>291</v>
      </c>
      <c r="E163" s="22">
        <f>'[7]Уборка от случ.мусора асф.покр.'!$DV$8</f>
        <v>42361.31571833333</v>
      </c>
      <c r="F163" s="29">
        <f>36095.64</f>
        <v>36095.64</v>
      </c>
      <c r="G163" s="22">
        <f>'[1]ук(2016)'!$DC$57</f>
        <v>128461.65852000001</v>
      </c>
      <c r="H163" s="29">
        <f>79733.78</f>
        <v>79733.78</v>
      </c>
      <c r="I163" s="29">
        <f>36095.64</f>
        <v>36095.64</v>
      </c>
      <c r="J163" s="19">
        <v>0.8928571428571429</v>
      </c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s="11" customFormat="1" ht="15.75">
      <c r="A164" s="15" t="s">
        <v>136</v>
      </c>
      <c r="B164" s="9" t="s">
        <v>74</v>
      </c>
      <c r="C164" s="9" t="s">
        <v>34</v>
      </c>
      <c r="D164" s="9" t="s">
        <v>15</v>
      </c>
      <c r="E164" s="29"/>
      <c r="F164" s="29"/>
      <c r="G164" s="29"/>
      <c r="H164" s="29"/>
      <c r="I164" s="29"/>
      <c r="J164" s="19">
        <v>0.8928571428571429</v>
      </c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3" s="11" customFormat="1" ht="15.75">
      <c r="A165" s="15" t="s">
        <v>137</v>
      </c>
      <c r="B165" s="9" t="s">
        <v>31</v>
      </c>
      <c r="C165" s="9" t="s">
        <v>34</v>
      </c>
      <c r="D165" s="9" t="s">
        <v>3</v>
      </c>
      <c r="E165" s="29"/>
      <c r="F165" s="29"/>
      <c r="G165" s="29"/>
      <c r="H165" s="29"/>
      <c r="I165" s="29"/>
      <c r="J165" s="19">
        <v>0.8928571428571429</v>
      </c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s="11" customFormat="1" ht="15.75">
      <c r="A166" s="15" t="s">
        <v>138</v>
      </c>
      <c r="B166" s="9" t="s">
        <v>75</v>
      </c>
      <c r="C166" s="9" t="s">
        <v>40</v>
      </c>
      <c r="D166" s="16">
        <f>E163/E2</f>
        <v>2.995525641025641</v>
      </c>
      <c r="E166" s="29"/>
      <c r="F166" s="29"/>
      <c r="G166" s="29"/>
      <c r="H166" s="29"/>
      <c r="I166" s="29"/>
      <c r="J166" s="19">
        <v>0.8928571428571429</v>
      </c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3" s="11" customFormat="1" ht="31.5">
      <c r="A167" s="15" t="s">
        <v>135</v>
      </c>
      <c r="B167" s="9" t="s">
        <v>73</v>
      </c>
      <c r="C167" s="9" t="s">
        <v>34</v>
      </c>
      <c r="D167" s="9" t="s">
        <v>292</v>
      </c>
      <c r="E167" s="29">
        <f>'[7]Уборка газонов от лист.сучьев'!$K$8</f>
        <v>10181.9016</v>
      </c>
      <c r="F167" s="29"/>
      <c r="G167" s="22">
        <f>'[1]ук(2016)'!$DC$58</f>
        <v>26812.340880000003</v>
      </c>
      <c r="H167" s="22"/>
      <c r="I167" s="29"/>
      <c r="J167" s="19">
        <v>0.8928571428571429</v>
      </c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3" s="11" customFormat="1" ht="15.75">
      <c r="A168" s="15" t="s">
        <v>136</v>
      </c>
      <c r="B168" s="9" t="s">
        <v>74</v>
      </c>
      <c r="C168" s="9" t="s">
        <v>34</v>
      </c>
      <c r="D168" s="9" t="s">
        <v>17</v>
      </c>
      <c r="E168" s="29"/>
      <c r="F168" s="29"/>
      <c r="G168" s="29"/>
      <c r="H168" s="29"/>
      <c r="I168" s="29"/>
      <c r="J168" s="19">
        <v>0.8928571428571429</v>
      </c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s="11" customFormat="1" ht="15.75">
      <c r="A169" s="15" t="s">
        <v>137</v>
      </c>
      <c r="B169" s="9" t="s">
        <v>31</v>
      </c>
      <c r="C169" s="9" t="s">
        <v>34</v>
      </c>
      <c r="D169" s="9" t="s">
        <v>3</v>
      </c>
      <c r="E169" s="29"/>
      <c r="F169" s="29"/>
      <c r="G169" s="29"/>
      <c r="H169" s="29"/>
      <c r="I169" s="29"/>
      <c r="J169" s="19">
        <v>0.8928571428571429</v>
      </c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1:23" s="11" customFormat="1" ht="15.75">
      <c r="A170" s="15" t="s">
        <v>138</v>
      </c>
      <c r="B170" s="9" t="s">
        <v>75</v>
      </c>
      <c r="C170" s="9" t="s">
        <v>40</v>
      </c>
      <c r="D170" s="16">
        <f>E167/E2</f>
        <v>0.7199999999999999</v>
      </c>
      <c r="E170" s="29"/>
      <c r="F170" s="29"/>
      <c r="G170" s="29"/>
      <c r="H170" s="29"/>
      <c r="I170" s="29"/>
      <c r="J170" s="19">
        <v>0.8928571428571429</v>
      </c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1:23" s="11" customFormat="1" ht="31.5">
      <c r="A171" s="15" t="s">
        <v>139</v>
      </c>
      <c r="B171" s="9" t="s">
        <v>73</v>
      </c>
      <c r="C171" s="9" t="s">
        <v>34</v>
      </c>
      <c r="D171" s="9" t="s">
        <v>295</v>
      </c>
      <c r="E171" s="29">
        <f>'[7]Подметание вручную асф.покрытия'!$BK$8</f>
        <v>9156.97737809524</v>
      </c>
      <c r="F171" s="29">
        <f>32465.32+79733.38+17207.41</f>
        <v>129406.11000000002</v>
      </c>
      <c r="G171" s="22">
        <f>'[1]ук(2016)'!$DC$56</f>
        <v>43782.17688</v>
      </c>
      <c r="H171" s="22"/>
      <c r="I171" s="29">
        <f>32465.32+79733.38+17207.41</f>
        <v>129406.11000000002</v>
      </c>
      <c r="J171" s="19">
        <v>0.8928571428571429</v>
      </c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1:23" s="11" customFormat="1" ht="15.75">
      <c r="A172" s="15" t="s">
        <v>140</v>
      </c>
      <c r="B172" s="9" t="s">
        <v>74</v>
      </c>
      <c r="C172" s="9" t="s">
        <v>34</v>
      </c>
      <c r="D172" s="9" t="s">
        <v>8</v>
      </c>
      <c r="E172" s="29"/>
      <c r="F172" s="29"/>
      <c r="G172" s="29"/>
      <c r="H172" s="29"/>
      <c r="I172" s="29"/>
      <c r="J172" s="19">
        <v>0.8928571428571429</v>
      </c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s="11" customFormat="1" ht="15.75">
      <c r="A173" s="15" t="s">
        <v>141</v>
      </c>
      <c r="B173" s="9" t="s">
        <v>31</v>
      </c>
      <c r="C173" s="9" t="s">
        <v>34</v>
      </c>
      <c r="D173" s="9" t="s">
        <v>3</v>
      </c>
      <c r="E173" s="29"/>
      <c r="F173" s="29"/>
      <c r="G173" s="29"/>
      <c r="H173" s="29"/>
      <c r="I173" s="29"/>
      <c r="J173" s="19">
        <v>0.8928571428571429</v>
      </c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s="11" customFormat="1" ht="15.75">
      <c r="A174" s="15" t="s">
        <v>142</v>
      </c>
      <c r="B174" s="9" t="s">
        <v>75</v>
      </c>
      <c r="C174" s="9" t="s">
        <v>40</v>
      </c>
      <c r="D174" s="16">
        <f>E171/E2</f>
        <v>0.6475238095238096</v>
      </c>
      <c r="E174" s="29"/>
      <c r="F174" s="29"/>
      <c r="G174" s="29"/>
      <c r="H174" s="29"/>
      <c r="I174" s="29"/>
      <c r="J174" s="19">
        <v>0.8928571428571429</v>
      </c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1:23" s="11" customFormat="1" ht="31.5" hidden="1">
      <c r="A175" s="15" t="s">
        <v>143</v>
      </c>
      <c r="B175" s="9" t="s">
        <v>73</v>
      </c>
      <c r="C175" s="9" t="s">
        <v>34</v>
      </c>
      <c r="D175" s="9" t="s">
        <v>16</v>
      </c>
      <c r="E175" s="29">
        <f>0</f>
        <v>0</v>
      </c>
      <c r="F175" s="29"/>
      <c r="G175" s="22">
        <f>'[1]ук(2016)'!$DC$61</f>
        <v>46497.350640000004</v>
      </c>
      <c r="H175" s="22"/>
      <c r="I175" s="29">
        <f>23248.68+24083.03</f>
        <v>47331.71</v>
      </c>
      <c r="J175" s="19">
        <v>0.8928571428571429</v>
      </c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s="11" customFormat="1" ht="15.75" hidden="1">
      <c r="A176" s="15" t="s">
        <v>144</v>
      </c>
      <c r="B176" s="9" t="s">
        <v>74</v>
      </c>
      <c r="C176" s="9" t="s">
        <v>34</v>
      </c>
      <c r="D176" s="9" t="s">
        <v>8</v>
      </c>
      <c r="E176" s="29"/>
      <c r="F176" s="29"/>
      <c r="G176" s="29"/>
      <c r="H176" s="29"/>
      <c r="I176" s="29"/>
      <c r="J176" s="19">
        <v>0.8928571428571429</v>
      </c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s="11" customFormat="1" ht="15.75" hidden="1">
      <c r="A177" s="15" t="s">
        <v>145</v>
      </c>
      <c r="B177" s="9" t="s">
        <v>31</v>
      </c>
      <c r="C177" s="9" t="s">
        <v>34</v>
      </c>
      <c r="D177" s="9" t="s">
        <v>3</v>
      </c>
      <c r="E177" s="29"/>
      <c r="F177" s="29"/>
      <c r="G177" s="29"/>
      <c r="H177" s="29"/>
      <c r="I177" s="29"/>
      <c r="J177" s="19">
        <v>0.8928571428571429</v>
      </c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1:23" s="11" customFormat="1" ht="15.75" hidden="1">
      <c r="A178" s="15" t="s">
        <v>146</v>
      </c>
      <c r="B178" s="9" t="s">
        <v>75</v>
      </c>
      <c r="C178" s="9" t="s">
        <v>40</v>
      </c>
      <c r="D178" s="16">
        <f>E175/E2</f>
        <v>0</v>
      </c>
      <c r="E178" s="29"/>
      <c r="F178" s="29"/>
      <c r="G178" s="29"/>
      <c r="H178" s="29"/>
      <c r="I178" s="29"/>
      <c r="J178" s="19">
        <v>0.8928571428571429</v>
      </c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s="11" customFormat="1" ht="31.5">
      <c r="A179" s="15" t="s">
        <v>147</v>
      </c>
      <c r="B179" s="9" t="s">
        <v>73</v>
      </c>
      <c r="C179" s="9" t="s">
        <v>34</v>
      </c>
      <c r="D179" s="9" t="s">
        <v>294</v>
      </c>
      <c r="E179" s="22">
        <f>'[7]Посыпка пескосоляной'!$Q$8</f>
        <v>12931.015032000001</v>
      </c>
      <c r="F179" s="29">
        <f>2128.3+17814.09</f>
        <v>19942.39</v>
      </c>
      <c r="G179" s="22">
        <f>'[1]ук(2016)'!$DC$52</f>
        <v>35466.957239999996</v>
      </c>
      <c r="H179" s="29">
        <f>2128.3+10478.87</f>
        <v>12607.170000000002</v>
      </c>
      <c r="I179" s="29">
        <f>2128.3+17814.09</f>
        <v>19942.39</v>
      </c>
      <c r="J179" s="19">
        <v>0.8928571428571429</v>
      </c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1:23" s="11" customFormat="1" ht="15.75">
      <c r="A180" s="15" t="s">
        <v>148</v>
      </c>
      <c r="B180" s="9" t="s">
        <v>74</v>
      </c>
      <c r="C180" s="9" t="s">
        <v>34</v>
      </c>
      <c r="D180" s="9" t="s">
        <v>317</v>
      </c>
      <c r="E180" s="29"/>
      <c r="F180" s="29"/>
      <c r="G180" s="29"/>
      <c r="H180" s="29"/>
      <c r="I180" s="29"/>
      <c r="J180" s="19">
        <v>0.8928571428571429</v>
      </c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s="11" customFormat="1" ht="15.75">
      <c r="A181" s="15" t="s">
        <v>149</v>
      </c>
      <c r="B181" s="9" t="s">
        <v>31</v>
      </c>
      <c r="C181" s="9" t="s">
        <v>34</v>
      </c>
      <c r="D181" s="9" t="s">
        <v>3</v>
      </c>
      <c r="E181" s="29"/>
      <c r="F181" s="29"/>
      <c r="G181" s="29"/>
      <c r="H181" s="29"/>
      <c r="I181" s="29"/>
      <c r="J181" s="19">
        <v>0.8928571428571429</v>
      </c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s="11" customFormat="1" ht="15.75">
      <c r="A182" s="15" t="s">
        <v>150</v>
      </c>
      <c r="B182" s="9" t="s">
        <v>75</v>
      </c>
      <c r="C182" s="9" t="s">
        <v>40</v>
      </c>
      <c r="D182" s="16">
        <f>E179/E2</f>
        <v>0.9144</v>
      </c>
      <c r="E182" s="29"/>
      <c r="F182" s="29"/>
      <c r="G182" s="29"/>
      <c r="H182" s="29"/>
      <c r="I182" s="29"/>
      <c r="J182" s="19">
        <v>0.8928571428571429</v>
      </c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1:23" s="11" customFormat="1" ht="31.5">
      <c r="A183" s="15" t="s">
        <v>151</v>
      </c>
      <c r="B183" s="9" t="s">
        <v>73</v>
      </c>
      <c r="C183" s="9" t="s">
        <v>34</v>
      </c>
      <c r="D183" s="9" t="s">
        <v>296</v>
      </c>
      <c r="E183" s="22">
        <f>'[7]Ликвидация наледи'!$K$8</f>
        <v>950.3108160000002</v>
      </c>
      <c r="F183" s="29">
        <f>12755.66+6705.91</f>
        <v>19461.57</v>
      </c>
      <c r="G183" s="22">
        <f>'[1]ук(2016)'!$DC$50</f>
        <v>25794.15072</v>
      </c>
      <c r="H183" s="29">
        <f>7653.4+6705.91</f>
        <v>14359.31</v>
      </c>
      <c r="I183" s="29">
        <f>12755.66+6705.91</f>
        <v>19461.57</v>
      </c>
      <c r="J183" s="19">
        <v>0.8928571428571429</v>
      </c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s="11" customFormat="1" ht="15.75">
      <c r="A184" s="15" t="s">
        <v>152</v>
      </c>
      <c r="B184" s="9" t="s">
        <v>74</v>
      </c>
      <c r="C184" s="9" t="s">
        <v>34</v>
      </c>
      <c r="D184" s="9" t="s">
        <v>17</v>
      </c>
      <c r="E184" s="29"/>
      <c r="F184" s="29"/>
      <c r="G184" s="29"/>
      <c r="H184" s="29"/>
      <c r="I184" s="29"/>
      <c r="J184" s="19">
        <v>0.8928571428571429</v>
      </c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1:23" s="11" customFormat="1" ht="15.75">
      <c r="A185" s="15" t="s">
        <v>153</v>
      </c>
      <c r="B185" s="9" t="s">
        <v>31</v>
      </c>
      <c r="C185" s="9" t="s">
        <v>34</v>
      </c>
      <c r="D185" s="9" t="s">
        <v>3</v>
      </c>
      <c r="E185" s="29"/>
      <c r="F185" s="29"/>
      <c r="G185" s="29"/>
      <c r="H185" s="29"/>
      <c r="I185" s="29"/>
      <c r="J185" s="19">
        <v>0.8928571428571429</v>
      </c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s="11" customFormat="1" ht="15.75">
      <c r="A186" s="15" t="s">
        <v>154</v>
      </c>
      <c r="B186" s="9" t="s">
        <v>75</v>
      </c>
      <c r="C186" s="9" t="s">
        <v>40</v>
      </c>
      <c r="D186" s="16">
        <f>E183/E2</f>
        <v>0.06720000000000001</v>
      </c>
      <c r="E186" s="29"/>
      <c r="F186" s="29"/>
      <c r="G186" s="29"/>
      <c r="H186" s="29"/>
      <c r="I186" s="29"/>
      <c r="J186" s="19">
        <v>0.8928571428571429</v>
      </c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1:23" s="11" customFormat="1" ht="31.5">
      <c r="A187" s="15" t="s">
        <v>247</v>
      </c>
      <c r="B187" s="9" t="s">
        <v>73</v>
      </c>
      <c r="C187" s="9" t="s">
        <v>34</v>
      </c>
      <c r="D187" s="9" t="s">
        <v>297</v>
      </c>
      <c r="E187" s="22">
        <f>G187</f>
        <v>13915.26552</v>
      </c>
      <c r="F187" s="29">
        <f>8292.59</f>
        <v>8292.59</v>
      </c>
      <c r="G187" s="22">
        <f>'[1]ук(2016)'!$DC$59</f>
        <v>13915.26552</v>
      </c>
      <c r="H187" s="29">
        <v>8292.59</v>
      </c>
      <c r="I187" s="29">
        <f>8292.59</f>
        <v>8292.59</v>
      </c>
      <c r="J187" s="19">
        <v>0.8928571428571429</v>
      </c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1:23" s="11" customFormat="1" ht="15.75">
      <c r="A188" s="15" t="s">
        <v>248</v>
      </c>
      <c r="B188" s="9" t="s">
        <v>74</v>
      </c>
      <c r="C188" s="9" t="s">
        <v>34</v>
      </c>
      <c r="D188" s="9" t="s">
        <v>268</v>
      </c>
      <c r="E188" s="29"/>
      <c r="F188" s="29"/>
      <c r="G188" s="29"/>
      <c r="H188" s="29"/>
      <c r="I188" s="29"/>
      <c r="J188" s="19">
        <v>0.8928571428571429</v>
      </c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1:23" s="11" customFormat="1" ht="15.75">
      <c r="A189" s="15" t="s">
        <v>249</v>
      </c>
      <c r="B189" s="9" t="s">
        <v>31</v>
      </c>
      <c r="C189" s="9" t="s">
        <v>34</v>
      </c>
      <c r="D189" s="9" t="s">
        <v>3</v>
      </c>
      <c r="E189" s="29"/>
      <c r="F189" s="29"/>
      <c r="G189" s="29"/>
      <c r="H189" s="29"/>
      <c r="I189" s="29"/>
      <c r="J189" s="19">
        <v>0.8928571428571429</v>
      </c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1:23" s="11" customFormat="1" ht="15.75">
      <c r="A190" s="15" t="s">
        <v>250</v>
      </c>
      <c r="B190" s="9" t="s">
        <v>75</v>
      </c>
      <c r="C190" s="9" t="s">
        <v>40</v>
      </c>
      <c r="D190" s="16">
        <f>E187/E2</f>
        <v>0.984</v>
      </c>
      <c r="E190" s="29"/>
      <c r="F190" s="29"/>
      <c r="G190" s="29"/>
      <c r="H190" s="29"/>
      <c r="I190" s="29"/>
      <c r="J190" s="19">
        <v>0.8928571428571429</v>
      </c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1:23" s="11" customFormat="1" ht="31.5" hidden="1">
      <c r="A191" s="15" t="s">
        <v>251</v>
      </c>
      <c r="B191" s="9" t="s">
        <v>73</v>
      </c>
      <c r="C191" s="9" t="s">
        <v>34</v>
      </c>
      <c r="D191" s="16" t="s">
        <v>233</v>
      </c>
      <c r="E191" s="29">
        <v>0</v>
      </c>
      <c r="F191" s="29"/>
      <c r="G191" s="29"/>
      <c r="H191" s="29"/>
      <c r="I191" s="29">
        <v>0</v>
      </c>
      <c r="J191" s="19">
        <v>0.8928571428571429</v>
      </c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</row>
    <row r="192" spans="1:23" s="11" customFormat="1" ht="15.75" hidden="1">
      <c r="A192" s="15" t="s">
        <v>252</v>
      </c>
      <c r="B192" s="9" t="s">
        <v>74</v>
      </c>
      <c r="C192" s="9" t="s">
        <v>34</v>
      </c>
      <c r="D192" s="16" t="s">
        <v>14</v>
      </c>
      <c r="E192" s="29"/>
      <c r="F192" s="29"/>
      <c r="G192" s="29"/>
      <c r="H192" s="29"/>
      <c r="I192" s="29"/>
      <c r="J192" s="19">
        <v>0.8928571428571429</v>
      </c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1:23" s="11" customFormat="1" ht="15.75" hidden="1">
      <c r="A193" s="15" t="s">
        <v>253</v>
      </c>
      <c r="B193" s="9" t="s">
        <v>31</v>
      </c>
      <c r="C193" s="9" t="s">
        <v>34</v>
      </c>
      <c r="D193" s="16" t="s">
        <v>3</v>
      </c>
      <c r="E193" s="29"/>
      <c r="F193" s="29"/>
      <c r="G193" s="29"/>
      <c r="H193" s="29"/>
      <c r="I193" s="29"/>
      <c r="J193" s="19">
        <v>0.8928571428571429</v>
      </c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1:23" s="11" customFormat="1" ht="15.75" hidden="1">
      <c r="A194" s="15" t="s">
        <v>254</v>
      </c>
      <c r="B194" s="9" t="s">
        <v>75</v>
      </c>
      <c r="C194" s="9" t="s">
        <v>40</v>
      </c>
      <c r="D194" s="16">
        <f>E191/E2</f>
        <v>0</v>
      </c>
      <c r="E194" s="29"/>
      <c r="F194" s="29"/>
      <c r="G194" s="29"/>
      <c r="H194" s="29"/>
      <c r="I194" s="29"/>
      <c r="J194" s="19">
        <v>0.8928571428571429</v>
      </c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1:23" s="11" customFormat="1" ht="31.5">
      <c r="A195" s="15" t="s">
        <v>247</v>
      </c>
      <c r="B195" s="9" t="s">
        <v>73</v>
      </c>
      <c r="C195" s="9" t="s">
        <v>34</v>
      </c>
      <c r="D195" s="9" t="s">
        <v>300</v>
      </c>
      <c r="E195" s="22">
        <f>'[7]Очистка метал решетки и приямка'!$K$8</f>
        <v>254.54754000000005</v>
      </c>
      <c r="F195" s="29"/>
      <c r="G195" s="22">
        <f>'[1]ук(2016)'!$DC$59</f>
        <v>13915.26552</v>
      </c>
      <c r="H195" s="22"/>
      <c r="I195" s="29">
        <f>8292.59</f>
        <v>8292.59</v>
      </c>
      <c r="J195" s="19">
        <v>0.8928571428571429</v>
      </c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1:23" s="11" customFormat="1" ht="15.75">
      <c r="A196" s="15" t="s">
        <v>248</v>
      </c>
      <c r="B196" s="9" t="s">
        <v>74</v>
      </c>
      <c r="C196" s="9" t="s">
        <v>34</v>
      </c>
      <c r="D196" s="9" t="s">
        <v>17</v>
      </c>
      <c r="E196" s="29"/>
      <c r="F196" s="29"/>
      <c r="G196" s="29"/>
      <c r="H196" s="29"/>
      <c r="I196" s="29"/>
      <c r="J196" s="19">
        <v>0.8928571428571429</v>
      </c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1:23" s="11" customFormat="1" ht="15.75">
      <c r="A197" s="15" t="s">
        <v>249</v>
      </c>
      <c r="B197" s="9" t="s">
        <v>31</v>
      </c>
      <c r="C197" s="9" t="s">
        <v>34</v>
      </c>
      <c r="D197" s="9" t="s">
        <v>3</v>
      </c>
      <c r="E197" s="29"/>
      <c r="F197" s="29"/>
      <c r="G197" s="29"/>
      <c r="H197" s="29"/>
      <c r="I197" s="29"/>
      <c r="J197" s="19">
        <v>0.8928571428571429</v>
      </c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s="11" customFormat="1" ht="15.75">
      <c r="A198" s="15" t="s">
        <v>250</v>
      </c>
      <c r="B198" s="9" t="s">
        <v>75</v>
      </c>
      <c r="C198" s="9" t="s">
        <v>40</v>
      </c>
      <c r="D198" s="16">
        <f>E195/E2</f>
        <v>0.018000000000000002</v>
      </c>
      <c r="E198" s="29"/>
      <c r="F198" s="29"/>
      <c r="G198" s="29"/>
      <c r="H198" s="29"/>
      <c r="I198" s="29"/>
      <c r="J198" s="19">
        <v>0.8928571428571429</v>
      </c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s="11" customFormat="1" ht="31.5">
      <c r="A199" s="15" t="s">
        <v>107</v>
      </c>
      <c r="B199" s="9" t="s">
        <v>73</v>
      </c>
      <c r="C199" s="9" t="s">
        <v>34</v>
      </c>
      <c r="D199" s="9" t="s">
        <v>0</v>
      </c>
      <c r="E199" s="24">
        <f>'[2]Управл 2017'!$Z$66</f>
        <v>159773.79599999997</v>
      </c>
      <c r="F199" s="13"/>
      <c r="G199" s="22">
        <f>'[1]ук(2016)'!$DC$81</f>
        <v>321069.29712</v>
      </c>
      <c r="H199" s="13">
        <f>319419</f>
        <v>319419</v>
      </c>
      <c r="I199" s="13">
        <f>319419</f>
        <v>319419</v>
      </c>
      <c r="J199" s="19">
        <v>0.8928571428571429</v>
      </c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s="11" customFormat="1" ht="15.75">
      <c r="A200" s="15" t="s">
        <v>108</v>
      </c>
      <c r="B200" s="9" t="s">
        <v>74</v>
      </c>
      <c r="C200" s="9" t="s">
        <v>34</v>
      </c>
      <c r="D200" s="9" t="s">
        <v>6</v>
      </c>
      <c r="E200" s="13"/>
      <c r="F200" s="13"/>
      <c r="G200" s="29"/>
      <c r="H200" s="29"/>
      <c r="I200" s="13"/>
      <c r="J200" s="19">
        <v>0.8928571428571429</v>
      </c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  <row r="201" spans="1:23" s="11" customFormat="1" ht="15.75">
      <c r="A201" s="15" t="s">
        <v>109</v>
      </c>
      <c r="B201" s="9" t="s">
        <v>31</v>
      </c>
      <c r="C201" s="9" t="s">
        <v>34</v>
      </c>
      <c r="D201" s="9" t="s">
        <v>3</v>
      </c>
      <c r="E201" s="13"/>
      <c r="F201" s="13"/>
      <c r="G201" s="29"/>
      <c r="H201" s="29"/>
      <c r="I201" s="13"/>
      <c r="J201" s="19">
        <v>0.8928571428571429</v>
      </c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 spans="1:23" s="11" customFormat="1" ht="15.75">
      <c r="A202" s="15" t="s">
        <v>110</v>
      </c>
      <c r="B202" s="9" t="s">
        <v>75</v>
      </c>
      <c r="C202" s="9" t="s">
        <v>40</v>
      </c>
      <c r="D202" s="16">
        <f>E199/E2</f>
        <v>11.298197295483584</v>
      </c>
      <c r="E202" s="13"/>
      <c r="F202" s="13"/>
      <c r="G202" s="29"/>
      <c r="H202" s="29"/>
      <c r="I202" s="13"/>
      <c r="J202" s="19">
        <v>0.8928571428571429</v>
      </c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s="11" customFormat="1" ht="31.5" hidden="1">
      <c r="A203" s="15" t="s">
        <v>255</v>
      </c>
      <c r="B203" s="9" t="s">
        <v>73</v>
      </c>
      <c r="C203" s="9" t="s">
        <v>34</v>
      </c>
      <c r="D203" s="16" t="s">
        <v>277</v>
      </c>
      <c r="E203" s="29"/>
      <c r="F203" s="29">
        <f>34112.71*J203</f>
        <v>30457.776785714286</v>
      </c>
      <c r="G203" s="22">
        <f>'[1]ук(2016)'!$DC$32</f>
        <v>28000.229400000004</v>
      </c>
      <c r="H203" s="29">
        <v>870.65</v>
      </c>
      <c r="I203" s="29">
        <v>870.65</v>
      </c>
      <c r="J203" s="19">
        <v>0.8928571428571429</v>
      </c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 spans="1:23" s="11" customFormat="1" ht="15.75" hidden="1">
      <c r="A204" s="15" t="s">
        <v>256</v>
      </c>
      <c r="B204" s="9" t="s">
        <v>74</v>
      </c>
      <c r="C204" s="9" t="s">
        <v>34</v>
      </c>
      <c r="D204" s="16" t="s">
        <v>269</v>
      </c>
      <c r="E204" s="29"/>
      <c r="F204" s="29"/>
      <c r="G204" s="29"/>
      <c r="H204" s="29"/>
      <c r="I204" s="29"/>
      <c r="J204" s="19">
        <v>0.8928571428571429</v>
      </c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</row>
    <row r="205" spans="1:23" s="11" customFormat="1" ht="15.75" hidden="1">
      <c r="A205" s="15" t="s">
        <v>257</v>
      </c>
      <c r="B205" s="9" t="s">
        <v>31</v>
      </c>
      <c r="C205" s="9" t="s">
        <v>34</v>
      </c>
      <c r="D205" s="16" t="s">
        <v>3</v>
      </c>
      <c r="E205" s="29"/>
      <c r="F205" s="29"/>
      <c r="G205" s="29"/>
      <c r="H205" s="29"/>
      <c r="I205" s="29"/>
      <c r="J205" s="19">
        <v>0.8928571428571429</v>
      </c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:23" s="11" customFormat="1" ht="15.75" hidden="1">
      <c r="A206" s="15" t="s">
        <v>258</v>
      </c>
      <c r="B206" s="9" t="s">
        <v>75</v>
      </c>
      <c r="C206" s="9" t="s">
        <v>40</v>
      </c>
      <c r="D206" s="16">
        <f>E203/E2</f>
        <v>0</v>
      </c>
      <c r="E206" s="29"/>
      <c r="F206" s="29"/>
      <c r="G206" s="29"/>
      <c r="H206" s="29"/>
      <c r="I206" s="29"/>
      <c r="J206" s="19">
        <v>0.8928571428571429</v>
      </c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s="11" customFormat="1" ht="47.25">
      <c r="A207" s="30" t="s">
        <v>155</v>
      </c>
      <c r="B207" s="12" t="s">
        <v>71</v>
      </c>
      <c r="C207" s="12" t="s">
        <v>34</v>
      </c>
      <c r="D207" s="12" t="s">
        <v>18</v>
      </c>
      <c r="E207" s="13"/>
      <c r="F207" s="29"/>
      <c r="G207" s="29"/>
      <c r="H207" s="29"/>
      <c r="I207" s="13"/>
      <c r="J207" s="19">
        <v>0.8928571428571429</v>
      </c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s="11" customFormat="1" ht="15.75">
      <c r="A208" s="15" t="s">
        <v>156</v>
      </c>
      <c r="B208" s="9" t="s">
        <v>72</v>
      </c>
      <c r="C208" s="9" t="s">
        <v>40</v>
      </c>
      <c r="D208" s="21">
        <f>E209+E213+E217+E221+E225+E229+E233+E237</f>
        <v>85150.66132343998</v>
      </c>
      <c r="E208" s="13"/>
      <c r="F208" s="29"/>
      <c r="G208" s="29"/>
      <c r="H208" s="29"/>
      <c r="I208" s="13"/>
      <c r="J208" s="19">
        <v>0.8928571428571429</v>
      </c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:23" s="11" customFormat="1" ht="31.5">
      <c r="A209" s="15" t="s">
        <v>157</v>
      </c>
      <c r="B209" s="9" t="s">
        <v>73</v>
      </c>
      <c r="C209" s="9" t="s">
        <v>34</v>
      </c>
      <c r="D209" s="9" t="s">
        <v>323</v>
      </c>
      <c r="E209" s="25">
        <f>'[9]Плеханова 3 с 01.09.18'!$D$15*4*E2</f>
        <v>961.6240400000002</v>
      </c>
      <c r="F209" s="26">
        <f>3027.35/12*10+3027.35/12/28*20</f>
        <v>2702.991071428571</v>
      </c>
      <c r="G209" s="22">
        <f>'[1]ук(2016)'!$DC$27</f>
        <v>678.79344</v>
      </c>
      <c r="H209" s="22"/>
      <c r="I209" s="13">
        <f>2148.426</f>
        <v>2148.426</v>
      </c>
      <c r="J209" s="19">
        <v>0.8928571428571429</v>
      </c>
      <c r="K209" s="25">
        <v>1</v>
      </c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:23" s="11" customFormat="1" ht="15.75">
      <c r="A210" s="15" t="s">
        <v>158</v>
      </c>
      <c r="B210" s="9" t="s">
        <v>74</v>
      </c>
      <c r="C210" s="9" t="s">
        <v>34</v>
      </c>
      <c r="D210" s="9" t="s">
        <v>96</v>
      </c>
      <c r="E210" s="13"/>
      <c r="F210" s="29"/>
      <c r="G210" s="29"/>
      <c r="H210" s="29"/>
      <c r="I210" s="13"/>
      <c r="J210" s="19">
        <v>0.8928571428571429</v>
      </c>
      <c r="K210" s="13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:23" s="11" customFormat="1" ht="15.75">
      <c r="A211" s="15" t="s">
        <v>159</v>
      </c>
      <c r="B211" s="9" t="s">
        <v>31</v>
      </c>
      <c r="C211" s="9" t="s">
        <v>34</v>
      </c>
      <c r="D211" s="9" t="s">
        <v>7</v>
      </c>
      <c r="E211" s="29"/>
      <c r="F211" s="29"/>
      <c r="G211" s="29"/>
      <c r="H211" s="29"/>
      <c r="I211" s="29"/>
      <c r="J211" s="19">
        <v>0.8928571428571429</v>
      </c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1:23" s="11" customFormat="1" ht="15.75">
      <c r="A212" s="15" t="s">
        <v>160</v>
      </c>
      <c r="B212" s="9" t="s">
        <v>75</v>
      </c>
      <c r="C212" s="9" t="s">
        <v>40</v>
      </c>
      <c r="D212" s="16">
        <f>E209/K209</f>
        <v>961.6240400000002</v>
      </c>
      <c r="E212" s="13"/>
      <c r="F212" s="29"/>
      <c r="G212" s="29"/>
      <c r="H212" s="29"/>
      <c r="I212" s="13"/>
      <c r="J212" s="19">
        <v>0.8928571428571429</v>
      </c>
      <c r="K212" s="13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1:23" s="11" customFormat="1" ht="31.5">
      <c r="A213" s="15"/>
      <c r="B213" s="9" t="s">
        <v>73</v>
      </c>
      <c r="C213" s="9" t="s">
        <v>34</v>
      </c>
      <c r="D213" s="16" t="s">
        <v>326</v>
      </c>
      <c r="E213" s="13">
        <f>('[11]ук(2016)'!$BJ$37+'[11]ук(2016)'!$BJ$41)*4*'[11]ук(2016)'!$BJ$3</f>
        <v>3295.65528344</v>
      </c>
      <c r="F213" s="29"/>
      <c r="G213" s="29"/>
      <c r="H213" s="29"/>
      <c r="I213" s="13"/>
      <c r="J213" s="19"/>
      <c r="K213" s="13">
        <v>2</v>
      </c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1:23" s="11" customFormat="1" ht="15.75">
      <c r="A214" s="15"/>
      <c r="B214" s="9" t="s">
        <v>74</v>
      </c>
      <c r="C214" s="9" t="s">
        <v>34</v>
      </c>
      <c r="D214" s="16" t="s">
        <v>322</v>
      </c>
      <c r="E214" s="13"/>
      <c r="F214" s="29"/>
      <c r="G214" s="29"/>
      <c r="H214" s="29"/>
      <c r="I214" s="13"/>
      <c r="J214" s="19"/>
      <c r="K214" s="13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s="11" customFormat="1" ht="15.75">
      <c r="A215" s="15"/>
      <c r="B215" s="9" t="s">
        <v>31</v>
      </c>
      <c r="C215" s="9" t="s">
        <v>34</v>
      </c>
      <c r="D215" s="9" t="s">
        <v>7</v>
      </c>
      <c r="E215" s="13"/>
      <c r="F215" s="29"/>
      <c r="G215" s="29"/>
      <c r="H215" s="29"/>
      <c r="I215" s="13"/>
      <c r="J215" s="19"/>
      <c r="K215" s="13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s="11" customFormat="1" ht="15.75">
      <c r="A216" s="15"/>
      <c r="B216" s="9" t="s">
        <v>75</v>
      </c>
      <c r="C216" s="9" t="s">
        <v>40</v>
      </c>
      <c r="D216" s="16">
        <f>E213/K213</f>
        <v>1647.82764172</v>
      </c>
      <c r="E216" s="13"/>
      <c r="F216" s="29"/>
      <c r="G216" s="29"/>
      <c r="H216" s="29"/>
      <c r="I216" s="13"/>
      <c r="J216" s="19"/>
      <c r="K216" s="13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1:23" s="11" customFormat="1" ht="31.5">
      <c r="A217" s="15"/>
      <c r="B217" s="9" t="s">
        <v>73</v>
      </c>
      <c r="C217" s="9" t="s">
        <v>34</v>
      </c>
      <c r="D217" s="16" t="s">
        <v>325</v>
      </c>
      <c r="E217" s="13">
        <f>2148.426/12*4</f>
        <v>716.1419999999999</v>
      </c>
      <c r="F217" s="29"/>
      <c r="G217" s="29"/>
      <c r="H217" s="29"/>
      <c r="I217" s="13"/>
      <c r="J217" s="19"/>
      <c r="K217" s="13">
        <v>1</v>
      </c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</row>
    <row r="218" spans="1:23" s="11" customFormat="1" ht="15.75">
      <c r="A218" s="15"/>
      <c r="B218" s="9" t="s">
        <v>74</v>
      </c>
      <c r="C218" s="9" t="s">
        <v>34</v>
      </c>
      <c r="D218" s="16" t="s">
        <v>322</v>
      </c>
      <c r="E218" s="13"/>
      <c r="F218" s="29"/>
      <c r="G218" s="29"/>
      <c r="H218" s="29"/>
      <c r="I218" s="13"/>
      <c r="J218" s="19"/>
      <c r="K218" s="13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s="11" customFormat="1" ht="15.75">
      <c r="A219" s="15"/>
      <c r="B219" s="9" t="s">
        <v>31</v>
      </c>
      <c r="C219" s="9" t="s">
        <v>34</v>
      </c>
      <c r="D219" s="9" t="s">
        <v>7</v>
      </c>
      <c r="E219" s="13"/>
      <c r="F219" s="29"/>
      <c r="G219" s="29"/>
      <c r="H219" s="29"/>
      <c r="I219" s="13"/>
      <c r="J219" s="19"/>
      <c r="K219" s="13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s="11" customFormat="1" ht="15.75">
      <c r="A220" s="15"/>
      <c r="B220" s="9" t="s">
        <v>75</v>
      </c>
      <c r="C220" s="9" t="s">
        <v>40</v>
      </c>
      <c r="D220" s="16">
        <f>E217/K217</f>
        <v>716.1419999999999</v>
      </c>
      <c r="E220" s="13"/>
      <c r="F220" s="29"/>
      <c r="G220" s="29"/>
      <c r="H220" s="29"/>
      <c r="I220" s="13"/>
      <c r="J220" s="19"/>
      <c r="K220" s="13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 spans="1:23" s="11" customFormat="1" ht="31.5">
      <c r="A221" s="15" t="s">
        <v>161</v>
      </c>
      <c r="B221" s="9" t="s">
        <v>73</v>
      </c>
      <c r="C221" s="9" t="s">
        <v>34</v>
      </c>
      <c r="D221" s="9" t="s">
        <v>272</v>
      </c>
      <c r="E221" s="29">
        <v>1843.54</v>
      </c>
      <c r="F221" s="29"/>
      <c r="G221" s="22"/>
      <c r="H221" s="22"/>
      <c r="I221" s="29"/>
      <c r="J221" s="1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s="11" customFormat="1" ht="15.75">
      <c r="A222" s="15" t="s">
        <v>162</v>
      </c>
      <c r="B222" s="9" t="s">
        <v>74</v>
      </c>
      <c r="C222" s="9" t="s">
        <v>34</v>
      </c>
      <c r="D222" s="9" t="s">
        <v>10</v>
      </c>
      <c r="E222" s="29"/>
      <c r="F222" s="29"/>
      <c r="G222" s="29"/>
      <c r="H222" s="29"/>
      <c r="I222" s="29"/>
      <c r="J222" s="1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 spans="1:23" s="11" customFormat="1" ht="15.75">
      <c r="A223" s="15" t="s">
        <v>163</v>
      </c>
      <c r="B223" s="9" t="s">
        <v>31</v>
      </c>
      <c r="C223" s="9" t="s">
        <v>34</v>
      </c>
      <c r="D223" s="9" t="s">
        <v>3</v>
      </c>
      <c r="E223" s="29"/>
      <c r="F223" s="29"/>
      <c r="G223" s="29"/>
      <c r="H223" s="29"/>
      <c r="I223" s="29"/>
      <c r="J223" s="1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s="11" customFormat="1" ht="15.75">
      <c r="A224" s="15" t="s">
        <v>164</v>
      </c>
      <c r="B224" s="9" t="s">
        <v>75</v>
      </c>
      <c r="C224" s="9" t="s">
        <v>40</v>
      </c>
      <c r="D224" s="16">
        <f>E221/E2</f>
        <v>0.13036354623580332</v>
      </c>
      <c r="E224" s="29"/>
      <c r="F224" s="29"/>
      <c r="G224" s="29"/>
      <c r="H224" s="29"/>
      <c r="I224" s="29"/>
      <c r="J224" s="1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s="11" customFormat="1" ht="93.75" customHeight="1">
      <c r="A225" s="15" t="s">
        <v>166</v>
      </c>
      <c r="B225" s="9" t="s">
        <v>73</v>
      </c>
      <c r="C225" s="9" t="s">
        <v>34</v>
      </c>
      <c r="D225" s="9" t="s">
        <v>324</v>
      </c>
      <c r="E225" s="26">
        <f>5099.47+1291.1+10914.94+49687.89</f>
        <v>66993.4</v>
      </c>
      <c r="F225" s="29"/>
      <c r="G225" s="22"/>
      <c r="H225" s="29"/>
      <c r="I225" s="29"/>
      <c r="J225" s="19"/>
      <c r="K225" s="26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 spans="1:23" s="11" customFormat="1" ht="15.75">
      <c r="A226" s="15" t="s">
        <v>165</v>
      </c>
      <c r="B226" s="9" t="s">
        <v>74</v>
      </c>
      <c r="C226" s="9" t="s">
        <v>34</v>
      </c>
      <c r="D226" s="9" t="s">
        <v>11</v>
      </c>
      <c r="E226" s="29"/>
      <c r="F226" s="29">
        <v>31897.16</v>
      </c>
      <c r="G226" s="27">
        <f>F225/F226</f>
        <v>0</v>
      </c>
      <c r="H226" s="27"/>
      <c r="I226" s="29"/>
      <c r="J226" s="19">
        <v>0.8928571428571429</v>
      </c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 spans="1:23" s="11" customFormat="1" ht="15.75">
      <c r="A227" s="15" t="s">
        <v>167</v>
      </c>
      <c r="B227" s="9" t="s">
        <v>31</v>
      </c>
      <c r="C227" s="9" t="s">
        <v>34</v>
      </c>
      <c r="D227" s="9" t="s">
        <v>3</v>
      </c>
      <c r="E227" s="29"/>
      <c r="F227" s="29">
        <f>F226*G226</f>
        <v>0</v>
      </c>
      <c r="G227" s="29"/>
      <c r="H227" s="29"/>
      <c r="I227" s="29"/>
      <c r="J227" s="29">
        <v>0.8928571428571429</v>
      </c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 spans="1:23" s="11" customFormat="1" ht="15.75">
      <c r="A228" s="15" t="s">
        <v>168</v>
      </c>
      <c r="B228" s="9" t="s">
        <v>75</v>
      </c>
      <c r="C228" s="9" t="s">
        <v>40</v>
      </c>
      <c r="D228" s="16">
        <f>E225/E2</f>
        <v>4.737351616126402</v>
      </c>
      <c r="E228" s="29"/>
      <c r="F228" s="29"/>
      <c r="G228" s="29"/>
      <c r="H228" s="29"/>
      <c r="I228" s="29"/>
      <c r="J228" s="29">
        <v>0.8928571428571429</v>
      </c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 spans="1:23" s="11" customFormat="1" ht="31.5">
      <c r="A229" s="15" t="s">
        <v>169</v>
      </c>
      <c r="B229" s="9" t="s">
        <v>73</v>
      </c>
      <c r="C229" s="9" t="s">
        <v>34</v>
      </c>
      <c r="D229" s="9" t="s">
        <v>271</v>
      </c>
      <c r="E229" s="26">
        <v>272.9</v>
      </c>
      <c r="F229" s="28"/>
      <c r="G229" s="29"/>
      <c r="H229" s="29"/>
      <c r="I229" s="29"/>
      <c r="J229" s="29"/>
      <c r="K229" s="26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 spans="1:23" s="11" customFormat="1" ht="15.75">
      <c r="A230" s="15" t="s">
        <v>170</v>
      </c>
      <c r="B230" s="9" t="s">
        <v>74</v>
      </c>
      <c r="C230" s="9" t="s">
        <v>34</v>
      </c>
      <c r="D230" s="9" t="s">
        <v>10</v>
      </c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</row>
    <row r="231" spans="1:23" s="11" customFormat="1" ht="15.75">
      <c r="A231" s="15" t="s">
        <v>171</v>
      </c>
      <c r="B231" s="9" t="s">
        <v>31</v>
      </c>
      <c r="C231" s="9" t="s">
        <v>34</v>
      </c>
      <c r="D231" s="9" t="s">
        <v>3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 spans="1:23" s="11" customFormat="1" ht="15.75">
      <c r="A232" s="15" t="s">
        <v>172</v>
      </c>
      <c r="B232" s="9" t="s">
        <v>75</v>
      </c>
      <c r="C232" s="9" t="s">
        <v>40</v>
      </c>
      <c r="D232" s="16">
        <f>E229/E2</f>
        <v>0.019297770467551954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 spans="1:23" s="11" customFormat="1" ht="192.75" customHeight="1">
      <c r="A233" s="15" t="s">
        <v>173</v>
      </c>
      <c r="B233" s="9" t="s">
        <v>73</v>
      </c>
      <c r="C233" s="9" t="s">
        <v>34</v>
      </c>
      <c r="D233" s="9" t="s">
        <v>327</v>
      </c>
      <c r="E233" s="29">
        <f>11067.4</f>
        <v>11067.4</v>
      </c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 spans="1:23" s="11" customFormat="1" ht="15.75">
      <c r="A234" s="15" t="s">
        <v>174</v>
      </c>
      <c r="B234" s="9" t="s">
        <v>74</v>
      </c>
      <c r="C234" s="9" t="s">
        <v>34</v>
      </c>
      <c r="D234" s="9" t="s">
        <v>328</v>
      </c>
      <c r="E234" s="29"/>
      <c r="F234" s="29"/>
      <c r="G234" s="29"/>
      <c r="H234" s="29"/>
      <c r="I234" s="29"/>
      <c r="J234" s="29">
        <v>0.8928571428571429</v>
      </c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 spans="1:23" s="11" customFormat="1" ht="15.75">
      <c r="A235" s="15" t="s">
        <v>175</v>
      </c>
      <c r="B235" s="9" t="s">
        <v>31</v>
      </c>
      <c r="C235" s="9" t="s">
        <v>34</v>
      </c>
      <c r="D235" s="9" t="s">
        <v>3</v>
      </c>
      <c r="E235" s="29"/>
      <c r="F235" s="29"/>
      <c r="G235" s="29"/>
      <c r="H235" s="29"/>
      <c r="I235" s="29"/>
      <c r="J235" s="29">
        <v>0.8928571428571429</v>
      </c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s="11" customFormat="1" ht="15.75">
      <c r="A236" s="15" t="s">
        <v>176</v>
      </c>
      <c r="B236" s="9" t="s">
        <v>75</v>
      </c>
      <c r="C236" s="9" t="s">
        <v>40</v>
      </c>
      <c r="D236" s="16">
        <f>E233/E2</f>
        <v>0.7826168738460406</v>
      </c>
      <c r="E236" s="29"/>
      <c r="F236" s="29"/>
      <c r="G236" s="29"/>
      <c r="H236" s="29"/>
      <c r="I236" s="29"/>
      <c r="J236" s="29">
        <v>0.8928571428571429</v>
      </c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s="11" customFormat="1" ht="31.5" hidden="1">
      <c r="A237" s="15"/>
      <c r="B237" s="9" t="s">
        <v>73</v>
      </c>
      <c r="C237" s="9" t="s">
        <v>34</v>
      </c>
      <c r="D237" s="16" t="s">
        <v>276</v>
      </c>
      <c r="E237" s="29"/>
      <c r="F237" s="29">
        <f>33520.77</f>
        <v>33520.77</v>
      </c>
      <c r="G237" s="29"/>
      <c r="H237" s="29"/>
      <c r="I237" s="29">
        <f>39636.32</f>
        <v>39636.32</v>
      </c>
      <c r="J237" s="29">
        <v>0.8928571428571429</v>
      </c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s="11" customFormat="1" ht="15.75" hidden="1">
      <c r="A238" s="15"/>
      <c r="B238" s="9" t="s">
        <v>74</v>
      </c>
      <c r="C238" s="9" t="s">
        <v>34</v>
      </c>
      <c r="D238" s="16" t="s">
        <v>11</v>
      </c>
      <c r="E238" s="29"/>
      <c r="F238" s="29"/>
      <c r="G238" s="29"/>
      <c r="H238" s="29"/>
      <c r="I238" s="29"/>
      <c r="J238" s="29">
        <v>0.8928571428571429</v>
      </c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 spans="1:23" s="11" customFormat="1" ht="15.75" hidden="1">
      <c r="A239" s="15"/>
      <c r="B239" s="9" t="s">
        <v>31</v>
      </c>
      <c r="C239" s="9" t="s">
        <v>34</v>
      </c>
      <c r="D239" s="16" t="s">
        <v>3</v>
      </c>
      <c r="E239" s="29"/>
      <c r="F239" s="29"/>
      <c r="G239" s="29"/>
      <c r="H239" s="29"/>
      <c r="I239" s="29"/>
      <c r="J239" s="29">
        <v>0.8928571428571429</v>
      </c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s="11" customFormat="1" ht="15.75" hidden="1">
      <c r="A240" s="15"/>
      <c r="B240" s="9" t="s">
        <v>75</v>
      </c>
      <c r="C240" s="9" t="s">
        <v>40</v>
      </c>
      <c r="D240" s="16">
        <f>E237/E2</f>
        <v>0</v>
      </c>
      <c r="E240" s="29"/>
      <c r="F240" s="29"/>
      <c r="G240" s="29"/>
      <c r="H240" s="29"/>
      <c r="I240" s="29"/>
      <c r="J240" s="29">
        <v>0.8928571428571429</v>
      </c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 spans="1:23" s="11" customFormat="1" ht="47.25">
      <c r="A241" s="30" t="s">
        <v>195</v>
      </c>
      <c r="B241" s="12" t="s">
        <v>71</v>
      </c>
      <c r="C241" s="12" t="s">
        <v>34</v>
      </c>
      <c r="D241" s="12" t="s">
        <v>20</v>
      </c>
      <c r="E241" s="29"/>
      <c r="F241" s="29"/>
      <c r="G241" s="29"/>
      <c r="H241" s="29"/>
      <c r="I241" s="29"/>
      <c r="J241" s="29">
        <v>0.8928571428571429</v>
      </c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 spans="1:23" s="11" customFormat="1" ht="18.75">
      <c r="A242" s="15" t="s">
        <v>177</v>
      </c>
      <c r="B242" s="9" t="s">
        <v>72</v>
      </c>
      <c r="C242" s="9" t="s">
        <v>40</v>
      </c>
      <c r="D242" s="21">
        <f>E243+E247+E251+E255+E259+E263+E267+E271+E256</f>
        <v>72361.48999999999</v>
      </c>
      <c r="E242" s="29"/>
      <c r="F242" s="17"/>
      <c r="G242" s="29"/>
      <c r="H242" s="29"/>
      <c r="I242" s="29"/>
      <c r="J242" s="29">
        <v>0.8928571428571429</v>
      </c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s="11" customFormat="1" ht="31.5" hidden="1">
      <c r="A243" s="15" t="s">
        <v>178</v>
      </c>
      <c r="B243" s="9" t="s">
        <v>73</v>
      </c>
      <c r="C243" s="9" t="s">
        <v>34</v>
      </c>
      <c r="D243" s="9" t="s">
        <v>299</v>
      </c>
      <c r="E243" s="22"/>
      <c r="F243" s="29" t="s">
        <v>265</v>
      </c>
      <c r="G243" s="22">
        <f>'[1]ук(2016)'!$DC$64</f>
        <v>24945.658919999998</v>
      </c>
      <c r="H243" s="22">
        <f>J243</f>
        <v>0.8928571428571429</v>
      </c>
      <c r="I243" s="29">
        <v>0</v>
      </c>
      <c r="J243" s="29">
        <v>0.8928571428571429</v>
      </c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s="11" customFormat="1" ht="15.75" hidden="1">
      <c r="A244" s="15" t="s">
        <v>194</v>
      </c>
      <c r="B244" s="9" t="s">
        <v>74</v>
      </c>
      <c r="C244" s="9" t="s">
        <v>34</v>
      </c>
      <c r="D244" s="9" t="s">
        <v>17</v>
      </c>
      <c r="E244" s="29"/>
      <c r="F244" s="29"/>
      <c r="G244" s="29"/>
      <c r="H244" s="29"/>
      <c r="I244" s="29"/>
      <c r="J244" s="29">
        <v>0.8928571428571429</v>
      </c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 spans="1:23" s="11" customFormat="1" ht="15.75" hidden="1">
      <c r="A245" s="15" t="s">
        <v>179</v>
      </c>
      <c r="B245" s="9" t="s">
        <v>31</v>
      </c>
      <c r="C245" s="9" t="s">
        <v>34</v>
      </c>
      <c r="D245" s="9" t="s">
        <v>3</v>
      </c>
      <c r="E245" s="29"/>
      <c r="F245" s="29"/>
      <c r="G245" s="29"/>
      <c r="H245" s="29"/>
      <c r="I245" s="29"/>
      <c r="J245" s="29">
        <v>0.8928571428571429</v>
      </c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 spans="1:23" s="11" customFormat="1" ht="15.75" hidden="1">
      <c r="A246" s="15" t="s">
        <v>180</v>
      </c>
      <c r="B246" s="9" t="s">
        <v>75</v>
      </c>
      <c r="C246" s="9" t="s">
        <v>40</v>
      </c>
      <c r="D246" s="9">
        <f>E243/E2</f>
        <v>0</v>
      </c>
      <c r="E246" s="29"/>
      <c r="F246" s="29"/>
      <c r="G246" s="29"/>
      <c r="H246" s="29"/>
      <c r="I246" s="29"/>
      <c r="J246" s="29">
        <v>0.8928571428571429</v>
      </c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s="11" customFormat="1" ht="31.5">
      <c r="A247" s="15" t="s">
        <v>181</v>
      </c>
      <c r="B247" s="9" t="s">
        <v>73</v>
      </c>
      <c r="C247" s="9" t="s">
        <v>34</v>
      </c>
      <c r="D247" s="9" t="s">
        <v>331</v>
      </c>
      <c r="E247" s="22">
        <v>0</v>
      </c>
      <c r="F247" s="29">
        <f>61071.38*J247</f>
        <v>54528.017857142855</v>
      </c>
      <c r="G247" s="22">
        <f>'[1]ук(2016)'!$DC$11+'[1]ук(2016)'!$DC$13</f>
        <v>50909.508</v>
      </c>
      <c r="H247" s="22">
        <v>613.15</v>
      </c>
      <c r="I247" s="29">
        <v>0</v>
      </c>
      <c r="J247" s="29">
        <v>0.8928571428571429</v>
      </c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s="11" customFormat="1" ht="15.75">
      <c r="A248" s="15" t="s">
        <v>182</v>
      </c>
      <c r="B248" s="9" t="s">
        <v>74</v>
      </c>
      <c r="C248" s="9" t="s">
        <v>34</v>
      </c>
      <c r="D248" s="9" t="s">
        <v>96</v>
      </c>
      <c r="E248" s="29"/>
      <c r="F248" s="29"/>
      <c r="G248" s="29"/>
      <c r="H248" s="29"/>
      <c r="I248" s="29"/>
      <c r="J248" s="29">
        <v>0.8928571428571429</v>
      </c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s="11" customFormat="1" ht="15.75">
      <c r="A249" s="15" t="s">
        <v>183</v>
      </c>
      <c r="B249" s="9" t="s">
        <v>31</v>
      </c>
      <c r="C249" s="9" t="s">
        <v>34</v>
      </c>
      <c r="D249" s="9" t="s">
        <v>3</v>
      </c>
      <c r="E249" s="29"/>
      <c r="F249" s="29"/>
      <c r="G249" s="29"/>
      <c r="H249" s="29"/>
      <c r="I249" s="29"/>
      <c r="J249" s="29">
        <v>0.8928571428571429</v>
      </c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 spans="1:23" s="11" customFormat="1" ht="15.75">
      <c r="A250" s="15" t="s">
        <v>184</v>
      </c>
      <c r="B250" s="9" t="s">
        <v>75</v>
      </c>
      <c r="C250" s="9" t="s">
        <v>40</v>
      </c>
      <c r="D250" s="16">
        <f>E247/E2</f>
        <v>0</v>
      </c>
      <c r="E250" s="29"/>
      <c r="F250" s="29"/>
      <c r="G250" s="29"/>
      <c r="H250" s="29"/>
      <c r="I250" s="29"/>
      <c r="J250" s="29">
        <v>0.8928571428571429</v>
      </c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 spans="1:23" s="11" customFormat="1" ht="78.75">
      <c r="A251" s="15"/>
      <c r="B251" s="9" t="s">
        <v>73</v>
      </c>
      <c r="C251" s="9" t="s">
        <v>34</v>
      </c>
      <c r="D251" s="16" t="s">
        <v>332</v>
      </c>
      <c r="E251" s="29">
        <v>0</v>
      </c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 spans="1:23" s="11" customFormat="1" ht="15.75">
      <c r="A252" s="15"/>
      <c r="B252" s="9" t="s">
        <v>74</v>
      </c>
      <c r="C252" s="9" t="s">
        <v>34</v>
      </c>
      <c r="D252" s="16" t="s">
        <v>96</v>
      </c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 spans="1:23" s="11" customFormat="1" ht="15.75">
      <c r="A253" s="15"/>
      <c r="B253" s="9" t="s">
        <v>31</v>
      </c>
      <c r="C253" s="9" t="s">
        <v>34</v>
      </c>
      <c r="D253" s="9" t="s">
        <v>3</v>
      </c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s="11" customFormat="1" ht="15.75">
      <c r="A254" s="15"/>
      <c r="B254" s="9" t="s">
        <v>75</v>
      </c>
      <c r="C254" s="9" t="s">
        <v>40</v>
      </c>
      <c r="D254" s="16">
        <f>E251/E2</f>
        <v>0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 spans="1:23" s="11" customFormat="1" ht="31.5">
      <c r="A255" s="15" t="s">
        <v>185</v>
      </c>
      <c r="B255" s="9" t="s">
        <v>73</v>
      </c>
      <c r="C255" s="9" t="s">
        <v>34</v>
      </c>
      <c r="D255" s="9" t="s">
        <v>330</v>
      </c>
      <c r="E255" s="29">
        <f>43212.34</f>
        <v>43212.34</v>
      </c>
      <c r="F255" s="29">
        <f>532188.66*J255</f>
        <v>475168.4464285715</v>
      </c>
      <c r="G255" s="22">
        <f>'[1]ук(2016)'!$DC$8</f>
        <v>436803.57863999996</v>
      </c>
      <c r="H255" s="29">
        <f>435.26+6458.64</f>
        <v>6893.900000000001</v>
      </c>
      <c r="I255" s="29">
        <v>6458.64</v>
      </c>
      <c r="J255" s="29">
        <v>0.8928571428571429</v>
      </c>
      <c r="K255" s="29">
        <f>0.432*100</f>
        <v>43.2</v>
      </c>
      <c r="L255" s="29" t="s">
        <v>339</v>
      </c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 spans="1:23" s="11" customFormat="1" ht="15.75">
      <c r="A256" s="15" t="s">
        <v>186</v>
      </c>
      <c r="B256" s="9" t="s">
        <v>74</v>
      </c>
      <c r="C256" s="9" t="s">
        <v>34</v>
      </c>
      <c r="D256" s="9" t="s">
        <v>17</v>
      </c>
      <c r="E256" s="29">
        <v>18681.38</v>
      </c>
      <c r="F256" s="29"/>
      <c r="G256" s="29"/>
      <c r="H256" s="29"/>
      <c r="I256" s="29"/>
      <c r="J256" s="29">
        <v>0.8928571428571429</v>
      </c>
      <c r="K256" s="29">
        <f>0.96*100</f>
        <v>96</v>
      </c>
      <c r="L256" s="29" t="s">
        <v>340</v>
      </c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 spans="1:23" s="11" customFormat="1" ht="15.75">
      <c r="A257" s="15" t="s">
        <v>187</v>
      </c>
      <c r="B257" s="9" t="s">
        <v>31</v>
      </c>
      <c r="C257" s="9" t="s">
        <v>34</v>
      </c>
      <c r="D257" s="9" t="s">
        <v>3</v>
      </c>
      <c r="E257" s="29"/>
      <c r="F257" s="29"/>
      <c r="G257" s="29"/>
      <c r="H257" s="29"/>
      <c r="I257" s="29"/>
      <c r="J257" s="29">
        <v>0.8928571428571429</v>
      </c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 spans="1:23" s="11" customFormat="1" ht="15.75">
      <c r="A258" s="15" t="s">
        <v>188</v>
      </c>
      <c r="B258" s="9" t="s">
        <v>75</v>
      </c>
      <c r="C258" s="9" t="s">
        <v>40</v>
      </c>
      <c r="D258" s="16">
        <f>E255/K255+E256/K256</f>
        <v>1194.8833564814813</v>
      </c>
      <c r="E258" s="29"/>
      <c r="F258" s="29"/>
      <c r="G258" s="29"/>
      <c r="H258" s="29"/>
      <c r="I258" s="29"/>
      <c r="J258" s="29">
        <v>0.8928571428571429</v>
      </c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s="11" customFormat="1" ht="47.25">
      <c r="A259" s="15"/>
      <c r="B259" s="9" t="s">
        <v>73</v>
      </c>
      <c r="C259" s="9" t="s">
        <v>34</v>
      </c>
      <c r="D259" s="16" t="s">
        <v>329</v>
      </c>
      <c r="E259" s="29">
        <f>9096.84</f>
        <v>9096.84</v>
      </c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 spans="1:23" s="11" customFormat="1" ht="15.75">
      <c r="A260" s="15"/>
      <c r="B260" s="9" t="s">
        <v>74</v>
      </c>
      <c r="C260" s="9" t="s">
        <v>34</v>
      </c>
      <c r="D260" s="16" t="s">
        <v>96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 spans="1:23" s="11" customFormat="1" ht="15.75">
      <c r="A261" s="15"/>
      <c r="B261" s="9" t="s">
        <v>31</v>
      </c>
      <c r="C261" s="9" t="s">
        <v>34</v>
      </c>
      <c r="D261" s="9" t="s">
        <v>3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 spans="1:23" s="11" customFormat="1" ht="15.75">
      <c r="A262" s="15"/>
      <c r="B262" s="9" t="s">
        <v>75</v>
      </c>
      <c r="C262" s="9" t="s">
        <v>40</v>
      </c>
      <c r="D262" s="16">
        <f>E259/E2</f>
        <v>0.643271272627502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 spans="1:23" s="11" customFormat="1" ht="47.25">
      <c r="A263" s="15" t="s">
        <v>189</v>
      </c>
      <c r="B263" s="9" t="s">
        <v>73</v>
      </c>
      <c r="C263" s="9" t="s">
        <v>34</v>
      </c>
      <c r="D263" s="9" t="s">
        <v>333</v>
      </c>
      <c r="E263" s="29">
        <v>1370.93</v>
      </c>
      <c r="F263" s="29">
        <f>20430.42*J263</f>
        <v>18241.446428571428</v>
      </c>
      <c r="G263" s="29"/>
      <c r="H263" s="29">
        <f>547.3+1506.92+1467.53</f>
        <v>3521.75</v>
      </c>
      <c r="I263" s="29">
        <f>547.3+1506.92+1467.53</f>
        <v>3521.75</v>
      </c>
      <c r="J263" s="29">
        <v>0.8928571428571429</v>
      </c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s="11" customFormat="1" ht="15.75">
      <c r="A264" s="15" t="s">
        <v>190</v>
      </c>
      <c r="B264" s="9" t="s">
        <v>74</v>
      </c>
      <c r="C264" s="9" t="s">
        <v>34</v>
      </c>
      <c r="D264" s="9" t="s">
        <v>17</v>
      </c>
      <c r="E264" s="29"/>
      <c r="F264" s="29"/>
      <c r="G264" s="29"/>
      <c r="H264" s="29"/>
      <c r="I264" s="29"/>
      <c r="J264" s="29">
        <v>0.8928571428571429</v>
      </c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spans="1:23" s="11" customFormat="1" ht="15.75">
      <c r="A265" s="15" t="s">
        <v>191</v>
      </c>
      <c r="B265" s="9" t="s">
        <v>31</v>
      </c>
      <c r="C265" s="9" t="s">
        <v>34</v>
      </c>
      <c r="D265" s="9" t="s">
        <v>3</v>
      </c>
      <c r="E265" s="29"/>
      <c r="F265" s="29"/>
      <c r="G265" s="29"/>
      <c r="H265" s="29"/>
      <c r="I265" s="29"/>
      <c r="J265" s="29">
        <v>0.8928571428571429</v>
      </c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 spans="1:23" s="11" customFormat="1" ht="15.75">
      <c r="A266" s="15" t="s">
        <v>192</v>
      </c>
      <c r="B266" s="9" t="s">
        <v>75</v>
      </c>
      <c r="C266" s="9" t="s">
        <v>40</v>
      </c>
      <c r="D266" s="16">
        <f>E263/E2</f>
        <v>0.09694354146969954</v>
      </c>
      <c r="E266" s="29"/>
      <c r="F266" s="29"/>
      <c r="G266" s="29"/>
      <c r="H266" s="29"/>
      <c r="I266" s="29"/>
      <c r="J266" s="29">
        <v>0.8928571428571429</v>
      </c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s="11" customFormat="1" ht="31.5">
      <c r="A267" s="15" t="s">
        <v>196</v>
      </c>
      <c r="B267" s="9" t="s">
        <v>73</v>
      </c>
      <c r="C267" s="9" t="s">
        <v>34</v>
      </c>
      <c r="D267" s="9" t="s">
        <v>334</v>
      </c>
      <c r="E267" s="29">
        <v>0</v>
      </c>
      <c r="F267" s="29">
        <f>2570.71*J267</f>
        <v>2295.276785714286</v>
      </c>
      <c r="G267" s="29"/>
      <c r="H267" s="29">
        <v>946.79</v>
      </c>
      <c r="I267" s="29">
        <f>946.79+2743.63+3762.32</f>
        <v>7452.74</v>
      </c>
      <c r="J267" s="29">
        <v>0.8928571428571429</v>
      </c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1:23" s="11" customFormat="1" ht="15.75">
      <c r="A268" s="15" t="s">
        <v>197</v>
      </c>
      <c r="B268" s="9" t="s">
        <v>74</v>
      </c>
      <c r="C268" s="9" t="s">
        <v>34</v>
      </c>
      <c r="D268" s="9" t="s">
        <v>96</v>
      </c>
      <c r="E268" s="29"/>
      <c r="F268" s="29"/>
      <c r="G268" s="29"/>
      <c r="H268" s="29"/>
      <c r="I268" s="29"/>
      <c r="J268" s="29">
        <v>0.8928571428571429</v>
      </c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spans="1:23" s="11" customFormat="1" ht="15.75">
      <c r="A269" s="15" t="s">
        <v>198</v>
      </c>
      <c r="B269" s="9" t="s">
        <v>31</v>
      </c>
      <c r="C269" s="9" t="s">
        <v>34</v>
      </c>
      <c r="D269" s="9" t="s">
        <v>3</v>
      </c>
      <c r="E269" s="29"/>
      <c r="F269" s="29"/>
      <c r="G269" s="29"/>
      <c r="H269" s="29"/>
      <c r="I269" s="29"/>
      <c r="J269" s="29">
        <v>0.8928571428571429</v>
      </c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</row>
    <row r="270" spans="1:23" s="11" customFormat="1" ht="15.75">
      <c r="A270" s="15" t="s">
        <v>199</v>
      </c>
      <c r="B270" s="9" t="s">
        <v>75</v>
      </c>
      <c r="C270" s="9" t="s">
        <v>40</v>
      </c>
      <c r="D270" s="16">
        <f>E267/E2</f>
        <v>0</v>
      </c>
      <c r="E270" s="29"/>
      <c r="F270" s="29"/>
      <c r="G270" s="29"/>
      <c r="H270" s="29"/>
      <c r="I270" s="29"/>
      <c r="J270" s="29">
        <v>0.8928571428571429</v>
      </c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s="11" customFormat="1" ht="31.5" hidden="1">
      <c r="A271" s="15" t="s">
        <v>259</v>
      </c>
      <c r="B271" s="9" t="s">
        <v>73</v>
      </c>
      <c r="C271" s="9" t="s">
        <v>34</v>
      </c>
      <c r="D271" s="9" t="s">
        <v>302</v>
      </c>
      <c r="E271" s="29"/>
      <c r="F271" s="29">
        <f>89991.92*J271</f>
        <v>80349.92857142858</v>
      </c>
      <c r="G271" s="29"/>
      <c r="H271" s="29">
        <f>146.56+87658.99+82120.25</f>
        <v>169925.8</v>
      </c>
      <c r="I271" s="29">
        <f>82120.25+146.56</f>
        <v>82266.81</v>
      </c>
      <c r="J271" s="29">
        <v>0.8928571428571429</v>
      </c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 spans="1:23" s="11" customFormat="1" ht="15.75" hidden="1">
      <c r="A272" s="15" t="s">
        <v>260</v>
      </c>
      <c r="B272" s="9" t="s">
        <v>74</v>
      </c>
      <c r="C272" s="9" t="s">
        <v>34</v>
      </c>
      <c r="D272" s="9" t="s">
        <v>269</v>
      </c>
      <c r="E272" s="29"/>
      <c r="F272" s="29"/>
      <c r="G272" s="29"/>
      <c r="H272" s="29"/>
      <c r="I272" s="29"/>
      <c r="J272" s="29">
        <v>0.8928571428571429</v>
      </c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 spans="1:23" s="11" customFormat="1" ht="15.75" hidden="1">
      <c r="A273" s="15" t="s">
        <v>261</v>
      </c>
      <c r="B273" s="9" t="s">
        <v>31</v>
      </c>
      <c r="C273" s="9" t="s">
        <v>34</v>
      </c>
      <c r="D273" s="9" t="s">
        <v>3</v>
      </c>
      <c r="E273" s="29"/>
      <c r="F273" s="29"/>
      <c r="G273" s="29"/>
      <c r="H273" s="29"/>
      <c r="I273" s="29"/>
      <c r="J273" s="29">
        <v>0.8928571428571429</v>
      </c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s="11" customFormat="1" ht="15.75" hidden="1">
      <c r="A274" s="15" t="s">
        <v>262</v>
      </c>
      <c r="B274" s="9" t="s">
        <v>75</v>
      </c>
      <c r="C274" s="9" t="s">
        <v>40</v>
      </c>
      <c r="D274" s="16">
        <f>E271/E2</f>
        <v>0</v>
      </c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s="11" customFormat="1" ht="15.75">
      <c r="A275" s="15"/>
      <c r="B275" s="12" t="s">
        <v>193</v>
      </c>
      <c r="C275" s="9" t="s">
        <v>40</v>
      </c>
      <c r="D275" s="18">
        <f>SUM(D28,D34,D68,D74,D112,D80,D94,D118,D128,D138,D208,D242)</f>
        <v>985890.4587212019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4" ht="15.75">
      <c r="A276" s="48" t="s">
        <v>200</v>
      </c>
      <c r="B276" s="48"/>
      <c r="C276" s="48"/>
      <c r="D276" s="48"/>
    </row>
    <row r="277" spans="1:4" ht="15.75">
      <c r="A277" s="7" t="s">
        <v>201</v>
      </c>
      <c r="B277" s="8" t="s">
        <v>202</v>
      </c>
      <c r="C277" s="8" t="s">
        <v>203</v>
      </c>
      <c r="D277" s="45">
        <f>'[2]Управл 2017'!$AA$66</f>
        <v>6</v>
      </c>
    </row>
    <row r="278" spans="1:4" ht="15.75">
      <c r="A278" s="7" t="s">
        <v>204</v>
      </c>
      <c r="B278" s="8" t="s">
        <v>205</v>
      </c>
      <c r="C278" s="8" t="s">
        <v>203</v>
      </c>
      <c r="D278" s="45">
        <f>'[2]Управл 2017'!$AB$66</f>
        <v>6</v>
      </c>
    </row>
    <row r="279" spans="1:4" ht="31.5">
      <c r="A279" s="7" t="s">
        <v>206</v>
      </c>
      <c r="B279" s="8" t="s">
        <v>207</v>
      </c>
      <c r="C279" s="8" t="s">
        <v>203</v>
      </c>
      <c r="D279" s="45">
        <f>'[2]Управл 2017'!$AC$66</f>
        <v>0</v>
      </c>
    </row>
    <row r="280" spans="1:4" ht="15.75">
      <c r="A280" s="7" t="s">
        <v>208</v>
      </c>
      <c r="B280" s="8" t="s">
        <v>209</v>
      </c>
      <c r="C280" s="8" t="s">
        <v>40</v>
      </c>
      <c r="D280" s="46">
        <f>'[2]Управл 2017'!$AD$66</f>
        <v>12918.1</v>
      </c>
    </row>
    <row r="281" spans="1:4" ht="15.75">
      <c r="A281" s="48" t="s">
        <v>210</v>
      </c>
      <c r="B281" s="48"/>
      <c r="C281" s="48"/>
      <c r="D281" s="48"/>
    </row>
    <row r="282" spans="1:4" ht="15.75">
      <c r="A282" s="7" t="s">
        <v>211</v>
      </c>
      <c r="B282" s="8" t="s">
        <v>39</v>
      </c>
      <c r="C282" s="8" t="s">
        <v>40</v>
      </c>
      <c r="D282" s="8">
        <v>0</v>
      </c>
    </row>
    <row r="283" spans="1:4" ht="31.5">
      <c r="A283" s="7" t="s">
        <v>212</v>
      </c>
      <c r="B283" s="8" t="s">
        <v>41</v>
      </c>
      <c r="C283" s="8" t="s">
        <v>40</v>
      </c>
      <c r="D283" s="8">
        <v>0</v>
      </c>
    </row>
    <row r="284" spans="1:4" ht="15.75">
      <c r="A284" s="7" t="s">
        <v>213</v>
      </c>
      <c r="B284" s="8" t="s">
        <v>43</v>
      </c>
      <c r="C284" s="8" t="s">
        <v>40</v>
      </c>
      <c r="D284" s="8">
        <v>0</v>
      </c>
    </row>
    <row r="285" spans="1:4" ht="15.75">
      <c r="A285" s="7" t="s">
        <v>214</v>
      </c>
      <c r="B285" s="8" t="s">
        <v>66</v>
      </c>
      <c r="C285" s="8" t="s">
        <v>40</v>
      </c>
      <c r="D285" s="8">
        <v>0</v>
      </c>
    </row>
    <row r="286" spans="1:4" ht="31.5">
      <c r="A286" s="7" t="s">
        <v>215</v>
      </c>
      <c r="B286" s="8" t="s">
        <v>216</v>
      </c>
      <c r="C286" s="8" t="s">
        <v>40</v>
      </c>
      <c r="D286" s="8">
        <v>0</v>
      </c>
    </row>
    <row r="287" spans="1:4" ht="15.75">
      <c r="A287" s="7" t="s">
        <v>217</v>
      </c>
      <c r="B287" s="8" t="s">
        <v>68</v>
      </c>
      <c r="C287" s="8" t="s">
        <v>40</v>
      </c>
      <c r="D287" s="8">
        <v>0</v>
      </c>
    </row>
    <row r="288" spans="1:4" ht="15.75">
      <c r="A288" s="48" t="s">
        <v>218</v>
      </c>
      <c r="B288" s="48"/>
      <c r="C288" s="48"/>
      <c r="D288" s="48"/>
    </row>
    <row r="289" spans="1:4" ht="15.75">
      <c r="A289" s="7" t="s">
        <v>219</v>
      </c>
      <c r="B289" s="8" t="s">
        <v>202</v>
      </c>
      <c r="C289" s="8" t="s">
        <v>203</v>
      </c>
      <c r="D289" s="8">
        <v>0</v>
      </c>
    </row>
    <row r="290" spans="1:4" ht="15.75">
      <c r="A290" s="7" t="s">
        <v>220</v>
      </c>
      <c r="B290" s="8" t="s">
        <v>205</v>
      </c>
      <c r="C290" s="8" t="s">
        <v>203</v>
      </c>
      <c r="D290" s="8">
        <v>0</v>
      </c>
    </row>
    <row r="291" spans="1:4" ht="15.75">
      <c r="A291" s="7" t="s">
        <v>221</v>
      </c>
      <c r="B291" s="8" t="s">
        <v>222</v>
      </c>
      <c r="C291" s="8" t="s">
        <v>203</v>
      </c>
      <c r="D291" s="8">
        <v>0</v>
      </c>
    </row>
    <row r="292" spans="1:4" ht="15.75">
      <c r="A292" s="7" t="s">
        <v>223</v>
      </c>
      <c r="B292" s="8" t="s">
        <v>209</v>
      </c>
      <c r="C292" s="8" t="s">
        <v>40</v>
      </c>
      <c r="D292" s="8">
        <v>0</v>
      </c>
    </row>
    <row r="293" spans="1:4" ht="15.75">
      <c r="A293" s="48" t="s">
        <v>224</v>
      </c>
      <c r="B293" s="48"/>
      <c r="C293" s="48"/>
      <c r="D293" s="48"/>
    </row>
    <row r="294" spans="1:4" ht="15.75">
      <c r="A294" s="7" t="s">
        <v>225</v>
      </c>
      <c r="B294" s="8" t="s">
        <v>226</v>
      </c>
      <c r="C294" s="8" t="s">
        <v>203</v>
      </c>
      <c r="D294" s="8">
        <v>12</v>
      </c>
    </row>
    <row r="295" spans="1:4" ht="15.75">
      <c r="A295" s="7" t="s">
        <v>227</v>
      </c>
      <c r="B295" s="8" t="s">
        <v>228</v>
      </c>
      <c r="C295" s="8" t="s">
        <v>203</v>
      </c>
      <c r="D295" s="8">
        <v>17</v>
      </c>
    </row>
    <row r="296" spans="1:4" ht="31.5">
      <c r="A296" s="7" t="s">
        <v>229</v>
      </c>
      <c r="B296" s="8" t="s">
        <v>230</v>
      </c>
      <c r="C296" s="8" t="s">
        <v>40</v>
      </c>
      <c r="D296" s="8">
        <v>149992.74</v>
      </c>
    </row>
  </sheetData>
  <sheetProtection/>
  <mergeCells count="8">
    <mergeCell ref="F129:F130"/>
    <mergeCell ref="A293:D293"/>
    <mergeCell ref="A2:D2"/>
    <mergeCell ref="A26:D26"/>
    <mergeCell ref="A8:D8"/>
    <mergeCell ref="A276:D276"/>
    <mergeCell ref="A281:D281"/>
    <mergeCell ref="A288:D28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2018-04-02T23:23:01Z</cp:lastPrinted>
  <dcterms:created xsi:type="dcterms:W3CDTF">2010-07-19T21:32:50Z</dcterms:created>
  <dcterms:modified xsi:type="dcterms:W3CDTF">2019-03-30T12:46:02Z</dcterms:modified>
  <cp:category/>
  <cp:version/>
  <cp:contentType/>
  <cp:contentStatus/>
</cp:coreProperties>
</file>