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<sst xmlns="http://schemas.openxmlformats.org/spreadsheetml/2006/main" count="962" uniqueCount="385">
  <si>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</si>
  <si>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</si>
  <si>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</si>
  <si>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</si>
  <si>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</si>
  <si>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</si>
  <si>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</si>
  <si>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</si>
  <si>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</si>
  <si>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</si>
  <si>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</si>
  <si>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</si>
  <si>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</si>
  <si>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</si>
  <si>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</si>
  <si>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</si>
  <si>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</si>
  <si>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</si>
  <si>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</si>
  <si>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</si>
  <si>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</si>
  <si>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</si>
  <si>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</si>
  <si>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</si>
  <si>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</si>
  <si>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</si>
  <si>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</si>
  <si>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</si>
  <si>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</si>
  <si>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</si>
  <si>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</si>
  <si>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</si>
  <si>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</si>
  <si>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</si>
  <si>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</si>
  <si>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</si>
  <si>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</si>
  <si>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</si>
  <si>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</si>
  <si>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</si>
  <si>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</si>
  <si>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</si>
  <si>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</si>
  <si>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</si>
  <si>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</si>
  <si>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</si>
  <si>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</si>
  <si>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</si>
  <si>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</si>
  <si>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</si>
  <si>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</si>
  <si>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</si>
  <si>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</si>
  <si>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</si>
  <si>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</si>
  <si>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</si>
  <si>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</si>
  <si>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</si>
  <si>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</si>
  <si>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</si>
  <si>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</si>
  <si>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</si>
  <si>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</si>
  <si>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</si>
  <si>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</si>
  <si>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</si>
  <si>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</si>
  <si>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</si>
  <si>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</si>
  <si>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</si>
  <si>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</si>
  <si>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</si>
  <si>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</si>
  <si>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</si>
  <si>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</si>
  <si>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</si>
  <si>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</si>
  <si>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</si>
  <si>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</si>
  <si>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</si>
  <si>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</si>
  <si>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</si>
  <si>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</si>
  <si>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</si>
  <si>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</si>
  <si>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</si>
  <si>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</si>
  <si>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</si>
  <si>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</si>
  <si>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</si>
  <si>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</si>
  <si>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</si>
  <si>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</si>
  <si>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</si>
  <si>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</si>
  <si>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</si>
  <si>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</si>
  <si>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</si>
  <si>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</si>
  <si>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</si>
  <si>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</si>
  <si>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</si>
  <si>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</si>
  <si>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</si>
  <si>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</si>
  <si>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</si>
  <si>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</si>
  <si>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</si>
  <si>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</si>
  <si>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</si>
  <si>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</si>
  <si>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</si>
  <si>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</si>
  <si>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</si>
  <si>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</si>
  <si>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</si>
  <si>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</si>
  <si>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</si>
  <si>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</si>
  <si>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</si>
  <si>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</si>
  <si>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</si>
  <si>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</si>
  <si>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</si>
  <si>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</si>
  <si>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</si>
  <si>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</si>
  <si>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</si>
  <si>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</si>
  <si>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</si>
  <si>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</si>
  <si>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</si>
  <si>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</si>
  <si>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</si>
  <si>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</si>
  <si>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</si>
  <si>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</si>
  <si>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</si>
  <si>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</si>
  <si>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</si>
  <si>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</si>
  <si>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</si>
  <si>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</si>
  <si>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</si>
  <si>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</si>
  <si>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</si>
  <si>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</si>
  <si>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</si>
  <si>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</si>
  <si>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</si>
  <si>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</si>
  <si>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</si>
  <si>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</si>
  <si>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</si>
  <si>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</si>
  <si>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</si>
  <si>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</si>
  <si>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</si>
  <si>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</si>
  <si>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</si>
  <si>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</si>
  <si>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</si>
  <si>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</si>
  <si>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</si>
  <si>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</si>
  <si>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</si>
  <si>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</si>
  <si>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</si>
  <si>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</si>
  <si>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</si>
  <si>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</si>
  <si>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</si>
  <si>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</si>
  <si>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</si>
  <si>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</si>
  <si>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</si>
  <si>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</si>
  <si>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</si>
  <si>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</si>
  <si>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</si>
  <si>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</si>
  <si>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</si>
  <si>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</si>
  <si>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</si>
  <si>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</si>
  <si>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</si>
  <si>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</si>
  <si>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</si>
  <si>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</si>
  <si>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</si>
  <si>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</si>
  <si>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</si>
  <si>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</si>
  <si>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</si>
  <si>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</si>
  <si>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</si>
  <si>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</si>
  <si>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</si>
  <si>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</si>
  <si>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</si>
  <si>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</si>
  <si>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</si>
  <si>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</si>
  <si>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</si>
  <si>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</si>
  <si>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</si>
  <si>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</si>
  <si>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</si>
  <si>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</si>
  <si>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</si>
  <si>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</si>
  <si>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</si>
  <si>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</si>
  <si>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</si>
  <si>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</si>
  <si>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</si>
  <si>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</si>
  <si>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</si>
  <si>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</si>
  <si>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</si>
  <si>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</si>
  <si>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</si>
  <si>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</si>
  <si>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</si>
  <si>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</si>
  <si>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</si>
  <si>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</si>
  <si>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</si>
  <si>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</si>
  <si>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</si>
  <si>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</si>
  <si>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</si>
  <si>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</si>
  <si>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</si>
  <si>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</si>
  <si>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</si>
  <si>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</si>
  <si>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</si>
  <si>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</si>
  <si>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</si>
  <si>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</si>
  <si>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</si>
  <si>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</si>
  <si>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</si>
  <si>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</si>
  <si>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</si>
  <si>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</si>
  <si>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</si>
  <si>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</si>
  <si>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</si>
  <si>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</si>
  <si>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</si>
  <si>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</si>
  <si>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</si>
  <si>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</si>
  <si>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</si>
  <si>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</si>
  <si>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</si>
  <si>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</si>
  <si>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</si>
  <si>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</si>
  <si>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</si>
  <si>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</si>
  <si>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</si>
  <si>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</si>
  <si>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</si>
  <si>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</si>
  <si>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</si>
  <si>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</si>
  <si>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</si>
  <si>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</si>
  <si>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</si>
  <si>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</si>
  <si>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</si>
  <si>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</si>
  <si>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</si>
  <si>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</si>
  <si>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</si>
  <si>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</si>
  <si>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</si>
  <si>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</si>
  <si>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</si>
  <si>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</si>
  <si>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</si>
  <si>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</si>
  <si>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</si>
  <si>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</si>
  <si>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</si>
  <si>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</si>
  <si>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</si>
  <si>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</si>
  <si>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</si>
  <si>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</si>
  <si>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</si>
  <si>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</si>
  <si>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</si>
  <si>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</si>
  <si>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</si>
  <si>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</si>
  <si>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</si>
  <si>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</si>
  <si>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</si>
  <si>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</si>
  <si>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</si>
  <si>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</si>
  <si>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</si>
  <si>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</si>
  <si>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</si>
  <si>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</si>
  <si>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</si>
  <si>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</si>
  <si>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</si>
  <si>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</si>
  <si>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</si>
  <si>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</si>
  <si>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</si>
  <si>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</si>
  <si>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</si>
  <si>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</si>
  <si>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</si>
  <si>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</si>
  <si>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</si>
  <si>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</si>
  <si>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</si>
  <si>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</si>
  <si>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</si>
  <si>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</si>
  <si>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</si>
  <si>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</si>
  <si>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</si>
  <si>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</si>
  <si>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</si>
  <si>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</si>
  <si>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</si>
  <si>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</si>
  <si>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</si>
  <si>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</si>
  <si>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</si>
  <si>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</si>
  <si>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</si>
  <si>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</si>
  <si>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</si>
  <si>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</si>
  <si>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</si>
  <si>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</si>
  <si>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</si>
  <si>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</si>
  <si>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</si>
  <si>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</si>
  <si>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</si>
  <si>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</si>
  <si>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</si>
  <si>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</si>
  <si>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</si>
  <si>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</si>
  <si>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</si>
  <si>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</si>
  <si>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</si>
  <si>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</si>
  <si>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</si>
  <si>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</si>
  <si>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</si>
  <si>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</si>
  <si>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</si>
  <si>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</si>
  <si>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</si>
  <si>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</si>
  <si>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</si>
  <si>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</si>
  <si>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</si>
  <si>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</si>
  <si>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</si>
  <si>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</si>
  <si>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</si>
  <si>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</si>
  <si>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</si>
  <si>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</si>
  <si>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Ремонт и обслуживание кол.приборов учёта тепловой энергии</t>
  </si>
  <si>
    <t>ярлыкова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</si>
  <si>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</si>
  <si>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</si>
  <si>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</si>
  <si>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</si>
  <si>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5Б  ул. Интернациональная в                      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</si>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</sst>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#,##0.00000"/>
    <numFmt numFmtId="189" formatCode="#,##0.0000"/>
    <numFmt numFmtId="190" formatCode="#,##0.000000000"/>
    <numFmt numFmtId="191" formatCode="#,##0.0000000000"/>
  </numFmts>
  <fonts count="55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  <font>
      <sz val="12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9" fontId="29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2" fontId="50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80" fontId="50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54" fillId="0" borderId="12" xfId="1890" applyFont="1" applyFill="1" applyBorder="1" applyAlignment="1">
      <alignment horizontal="center" vertical="center"/>
      <protection/>
    </xf>
    <xf numFmtId="0" fontId="54" fillId="0" borderId="12" xfId="1891" applyFont="1" applyFill="1" applyBorder="1" applyAlignment="1">
      <alignment horizontal="center" vertical="center"/>
      <protection/>
    </xf>
    <xf numFmtId="180" fontId="46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9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</cellXfs>
  <cellStyles count="2042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Обычный 2" xfId="1890"/>
    <cellStyle name="Обычный 3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Финансовый 2" xfId="2053"/>
    <cellStyle name="Финансовый 3" xfId="2054"/>
    <cellStyle name="Хороший" xfId="20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8;&#1085;&#1090;&#1077;&#1088;&#1085;&#1072;&#1094;&#1080;&#1086;&#1085;&#1072;&#1083;&#1100;&#1085;&#1072;&#1103;,%20&#1076;.%205&#1041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9">
          <cell r="I49">
            <v>144.31</v>
          </cell>
          <cell r="M49">
            <v>38600.53</v>
          </cell>
          <cell r="P49">
            <v>21791.951999999997</v>
          </cell>
          <cell r="U49">
            <v>24725.483999999997</v>
          </cell>
          <cell r="V49">
            <v>12858.13</v>
          </cell>
          <cell r="Z49">
            <v>26401.788</v>
          </cell>
          <cell r="AA49">
            <v>8</v>
          </cell>
          <cell r="AB49">
            <v>8</v>
          </cell>
          <cell r="AD49">
            <v>-34713.69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645.46</v>
          </cell>
        </row>
        <row r="24">
          <cell r="D24">
            <v>-4121.66599999991</v>
          </cell>
        </row>
        <row r="25">
          <cell r="D25">
            <v>57486.32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F122">
            <v>143421.03346559996</v>
          </cell>
        </row>
        <row r="123">
          <cell r="F123">
            <v>199034.10030960018</v>
          </cell>
        </row>
        <row r="124">
          <cell r="F124">
            <v>37331.07576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F3">
            <v>2538.7</v>
          </cell>
        </row>
        <row r="37">
          <cell r="F37">
            <v>0.139382</v>
          </cell>
        </row>
        <row r="41">
          <cell r="F41">
            <v>0.145887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Normal="90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4" hidden="1" customWidth="1"/>
    <col min="7" max="7" width="13.14062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49" t="s">
        <v>383</v>
      </c>
      <c r="B2" s="49"/>
      <c r="C2" s="49"/>
      <c r="D2" s="49"/>
      <c r="E2" s="5">
        <v>2538.7</v>
      </c>
      <c r="F2" s="2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382</v>
      </c>
    </row>
    <row r="8" spans="1:4" ht="42.75" customHeight="1">
      <c r="A8" s="48" t="s">
        <v>106</v>
      </c>
      <c r="B8" s="48"/>
      <c r="C8" s="48"/>
      <c r="D8" s="48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645.46</v>
      </c>
    </row>
    <row r="10" spans="1:4" ht="15.75">
      <c r="A10" s="7" t="s">
        <v>61</v>
      </c>
      <c r="B10" s="8" t="s">
        <v>77</v>
      </c>
      <c r="C10" s="8" t="s">
        <v>76</v>
      </c>
      <c r="D10" s="39">
        <f>'[2]по форме'!$D$24</f>
        <v>-4121.66599999991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57486.32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379786.2095352001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'[3]ук(2016)'!$F$123</f>
        <v>199034.10030960018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'[3]ук(2016)'!$F$122</f>
        <v>143421.03346559996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'[3]ук(2016)'!$F$124</f>
        <v>37331.07576</v>
      </c>
    </row>
    <row r="16" spans="1:4" ht="15.75">
      <c r="A16" s="10" t="s">
        <v>85</v>
      </c>
      <c r="B16" s="10" t="s">
        <v>86</v>
      </c>
      <c r="C16" s="10" t="s">
        <v>76</v>
      </c>
      <c r="D16" s="41">
        <f>D17</f>
        <v>335446.93953520013</v>
      </c>
    </row>
    <row r="17" spans="1:4" ht="31.5">
      <c r="A17" s="10" t="s">
        <v>62</v>
      </c>
      <c r="B17" s="10" t="s">
        <v>100</v>
      </c>
      <c r="C17" s="10" t="s">
        <v>76</v>
      </c>
      <c r="D17" s="41">
        <f>D12-D25+D256+D272</f>
        <v>335446.93953520013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1">
        <f>D16+D10+D9</f>
        <v>331970.73353520024</v>
      </c>
    </row>
    <row r="23" spans="1:4" ht="15.75">
      <c r="A23" s="10" t="s">
        <v>94</v>
      </c>
      <c r="B23" s="10" t="s">
        <v>102</v>
      </c>
      <c r="C23" s="10" t="s">
        <v>76</v>
      </c>
      <c r="D23" s="41">
        <f>'[1]Управл 2017'!$I$49</f>
        <v>144.31</v>
      </c>
    </row>
    <row r="24" spans="1:4" ht="15.75">
      <c r="A24" s="10" t="s">
        <v>95</v>
      </c>
      <c r="B24" s="10" t="s">
        <v>103</v>
      </c>
      <c r="C24" s="10" t="s">
        <v>76</v>
      </c>
      <c r="D24" s="41">
        <f>D22-D251</f>
        <v>9013.437955600326</v>
      </c>
    </row>
    <row r="25" spans="1:5" ht="15.75">
      <c r="A25" s="10" t="s">
        <v>96</v>
      </c>
      <c r="B25" s="10" t="s">
        <v>104</v>
      </c>
      <c r="C25" s="10" t="s">
        <v>76</v>
      </c>
      <c r="D25" s="41">
        <f>'[1]Управл 2017'!$M$49</f>
        <v>38600.53</v>
      </c>
      <c r="E25" s="1"/>
    </row>
    <row r="26" spans="1:22" s="11" customFormat="1" ht="35.25" customHeight="1">
      <c r="A26" s="50" t="s">
        <v>105</v>
      </c>
      <c r="B26" s="50"/>
      <c r="C26" s="50"/>
      <c r="D26" s="50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2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F28</f>
        <v>26960.994</v>
      </c>
      <c r="E28" s="30">
        <f>'[1]Управл 2017'!$U$49</f>
        <v>24725.483999999997</v>
      </c>
      <c r="F28" s="34">
        <f>0.885*12*E2</f>
        <v>26960.994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3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3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3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42">
        <f>E28/E2</f>
        <v>9.739427265923503</v>
      </c>
      <c r="E32" s="14"/>
      <c r="F32" s="3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5" t="s">
        <v>118</v>
      </c>
      <c r="B33" s="20" t="s">
        <v>107</v>
      </c>
      <c r="C33" s="20" t="s">
        <v>70</v>
      </c>
      <c r="D33" s="20" t="s">
        <v>13</v>
      </c>
      <c r="E33" s="21" t="s">
        <v>327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43">
        <f>E35+E39+E43+E47+E51+E55</f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4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4">
        <f>E35/E2</f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326</v>
      </c>
      <c r="E39" s="34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4">
        <f>E39/E2</f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4"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43">
        <f>E43/E2</f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1" customFormat="1" ht="31.5">
      <c r="A47" s="23" t="s">
        <v>338</v>
      </c>
      <c r="B47" s="9" t="s">
        <v>109</v>
      </c>
      <c r="C47" s="9" t="s">
        <v>70</v>
      </c>
      <c r="D47" s="9" t="s">
        <v>16</v>
      </c>
      <c r="E47" s="34"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1" customFormat="1" ht="15.75">
      <c r="A48" s="23" t="s">
        <v>339</v>
      </c>
      <c r="B48" s="9" t="s">
        <v>110</v>
      </c>
      <c r="C48" s="9" t="s">
        <v>70</v>
      </c>
      <c r="D48" s="9" t="s">
        <v>17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1" customFormat="1" ht="15.75">
      <c r="A49" s="23" t="s">
        <v>340</v>
      </c>
      <c r="B49" s="9" t="s">
        <v>67</v>
      </c>
      <c r="C49" s="9" t="s">
        <v>70</v>
      </c>
      <c r="D49" s="9" t="s">
        <v>12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1" customFormat="1" ht="15.75">
      <c r="A50" s="23" t="s">
        <v>341</v>
      </c>
      <c r="B50" s="9" t="s">
        <v>111</v>
      </c>
      <c r="C50" s="9" t="s">
        <v>76</v>
      </c>
      <c r="D50" s="24">
        <f>E47/E2</f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1" customFormat="1" ht="47.25">
      <c r="A51" s="23" t="s">
        <v>342</v>
      </c>
      <c r="B51" s="9" t="s">
        <v>109</v>
      </c>
      <c r="C51" s="9" t="s">
        <v>70</v>
      </c>
      <c r="D51" s="24" t="s">
        <v>329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1" customFormat="1" ht="15.75">
      <c r="A52" s="23" t="s">
        <v>343</v>
      </c>
      <c r="B52" s="9" t="s">
        <v>110</v>
      </c>
      <c r="C52" s="9" t="s">
        <v>70</v>
      </c>
      <c r="D52" s="24" t="s">
        <v>150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1" customFormat="1" ht="15.75">
      <c r="A53" s="23" t="s">
        <v>344</v>
      </c>
      <c r="B53" s="9" t="s">
        <v>67</v>
      </c>
      <c r="C53" s="9" t="s">
        <v>70</v>
      </c>
      <c r="D53" s="24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1" customFormat="1" ht="15.75">
      <c r="A54" s="23" t="s">
        <v>345</v>
      </c>
      <c r="B54" s="9" t="s">
        <v>111</v>
      </c>
      <c r="C54" s="9" t="s">
        <v>76</v>
      </c>
      <c r="D54" s="24">
        <f>E51/E2</f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1" customFormat="1" ht="31.5">
      <c r="A55" s="23" t="s">
        <v>346</v>
      </c>
      <c r="B55" s="9" t="s">
        <v>109</v>
      </c>
      <c r="C55" s="9" t="s">
        <v>70</v>
      </c>
      <c r="D55" s="24" t="s">
        <v>328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1" customFormat="1" ht="15.75">
      <c r="A56" s="23" t="s">
        <v>347</v>
      </c>
      <c r="B56" s="9" t="s">
        <v>110</v>
      </c>
      <c r="C56" s="9" t="s">
        <v>70</v>
      </c>
      <c r="D56" s="24" t="s">
        <v>150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1" customFormat="1" ht="15.75">
      <c r="A57" s="23" t="s">
        <v>348</v>
      </c>
      <c r="B57" s="9" t="s">
        <v>67</v>
      </c>
      <c r="C57" s="9" t="s">
        <v>70</v>
      </c>
      <c r="D57" s="24" t="s">
        <v>12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1" customFormat="1" ht="15.75">
      <c r="A58" s="23" t="s">
        <v>349</v>
      </c>
      <c r="B58" s="9" t="s">
        <v>111</v>
      </c>
      <c r="C58" s="9" t="s">
        <v>76</v>
      </c>
      <c r="D58" s="24">
        <f>E55/E2</f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2" customFormat="1" ht="24.75" customHeight="1">
      <c r="A59" s="35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24">
        <f>F60</f>
        <v>23864.28774</v>
      </c>
      <c r="E60" s="31">
        <f>'[1]Управл 2017'!$P$49</f>
        <v>21791.951999999997</v>
      </c>
      <c r="F60" s="36">
        <f>0.78335*12*E2</f>
        <v>23864.28774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4">
        <f>E60/E2</f>
        <v>8.583901997085121</v>
      </c>
      <c r="E64" s="2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2" customFormat="1" ht="15.75">
      <c r="A65" s="35" t="s">
        <v>138</v>
      </c>
      <c r="B65" s="20" t="s">
        <v>107</v>
      </c>
      <c r="C65" s="20" t="s">
        <v>70</v>
      </c>
      <c r="D65" s="20" t="s">
        <v>379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f>E65</f>
        <v>0</v>
      </c>
      <c r="E66" s="2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379</v>
      </c>
      <c r="E67" s="2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44">
        <f>E65/E2</f>
        <v>0</v>
      </c>
      <c r="E70" s="2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2" customFormat="1" ht="15.75">
      <c r="A71" s="35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37331.08</v>
      </c>
      <c r="E72" s="21">
        <v>37331.08</v>
      </c>
      <c r="F72" s="37">
        <f>1.2254*12*E2</f>
        <v>37331.07576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4">
        <f>E72/E2</f>
        <v>14.70480167014614</v>
      </c>
      <c r="E76" s="2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11" customFormat="1" ht="31.5">
      <c r="A77" s="35" t="s">
        <v>151</v>
      </c>
      <c r="B77" s="20" t="s">
        <v>107</v>
      </c>
      <c r="C77" s="20" t="s">
        <v>70</v>
      </c>
      <c r="D77" s="20" t="s">
        <v>57</v>
      </c>
      <c r="E77" s="21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F78</f>
        <v>11149.665755999999</v>
      </c>
      <c r="E78" s="21">
        <f>10188.73</f>
        <v>10188.73</v>
      </c>
      <c r="F78" s="34">
        <f>0.36599*12*E2</f>
        <v>11149.665755999999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21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2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2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4">
        <f>E78/E2</f>
        <v>4.013365108126206</v>
      </c>
      <c r="E82" s="2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2" customFormat="1" ht="31.5">
      <c r="A83" s="35" t="s">
        <v>158</v>
      </c>
      <c r="B83" s="20" t="s">
        <v>107</v>
      </c>
      <c r="C83" s="20" t="s">
        <v>70</v>
      </c>
      <c r="D83" s="20" t="s">
        <v>58</v>
      </c>
      <c r="E83" s="34">
        <f>10380.95+3263.7</f>
        <v>13644.650000000001</v>
      </c>
      <c r="F83" s="21" t="s">
        <v>336</v>
      </c>
      <c r="G83" s="21">
        <f>(0.029228+0.07794+0.062331)*12*E2</f>
        <v>5163.685335599999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13644.650000000001</v>
      </c>
      <c r="E84" s="34"/>
      <c r="F84" s="34">
        <v>56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4">
        <f>E83/F84</f>
        <v>243.6544642857143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2" customFormat="1" ht="15.75">
      <c r="A89" s="35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24">
        <f>E91+F95</f>
        <v>41418.505</v>
      </c>
      <c r="E90" s="21"/>
      <c r="F90" s="2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1">
        <f>'[1]Управл 2017'!$V$49</f>
        <v>12858.13</v>
      </c>
      <c r="F91" s="21">
        <f>0.712702*6*E2</f>
        <v>10856.019404399998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21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2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4">
        <f>E91/E2</f>
        <v>5.064848150628275</v>
      </c>
      <c r="E94" s="21"/>
      <c r="F94" s="2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1">
        <f>'[1]Управл 2017'!$Z$49</f>
        <v>26401.788</v>
      </c>
      <c r="F95" s="21">
        <f>1.875*6*E2</f>
        <v>28560.374999999996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4">
        <f>E95/E2</f>
        <v>10.399727419545437</v>
      </c>
      <c r="E98" s="21"/>
      <c r="F98" s="21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2" customFormat="1" ht="47.25">
      <c r="A99" s="35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337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224.86</v>
      </c>
      <c r="E100" s="34"/>
      <c r="F100" s="9">
        <v>416.4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4">
        <v>0</v>
      </c>
      <c r="F101" s="47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4"/>
      <c r="F102" s="47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4">
        <v>0</v>
      </c>
      <c r="E104" s="34"/>
      <c r="F104" s="9" t="s">
        <v>337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4">
        <v>224.86</v>
      </c>
      <c r="F105" s="9">
        <f>F100</f>
        <v>416.4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4">
        <f>E105/F105</f>
        <v>0.5400096061479347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2" customFormat="1" ht="63">
      <c r="A109" s="35" t="s">
        <v>185</v>
      </c>
      <c r="B109" s="20" t="s">
        <v>107</v>
      </c>
      <c r="C109" s="20" t="s">
        <v>70</v>
      </c>
      <c r="D109" s="20" t="s">
        <v>29</v>
      </c>
      <c r="E109" s="21"/>
      <c r="F109" s="3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24">
        <f>E111+E115+E123+E127+E131+E135+E139+E143+E147+E151+E155+E159+E163+E165+E119</f>
        <v>70586.01479999998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4">
        <f>F111</f>
        <v>1401.3624</v>
      </c>
      <c r="F111" s="34">
        <f>(0.034+0.012)*12*E2</f>
        <v>1401.3624</v>
      </c>
      <c r="G111" s="34">
        <f>1106.96</f>
        <v>1106.96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4">
        <f>E111/E2</f>
        <v>0.552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45">
        <f>F115</f>
        <v>4843.839599999999</v>
      </c>
      <c r="F115" s="34">
        <f>0.159*12*E2</f>
        <v>4843.839599999999</v>
      </c>
      <c r="G115" s="45">
        <f>1210.96</f>
        <v>1210.96</v>
      </c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4">
        <f>E115/E2</f>
        <v>1.908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1" customFormat="1" ht="31.5">
      <c r="A119" s="23"/>
      <c r="B119" s="9" t="s">
        <v>109</v>
      </c>
      <c r="C119" s="9" t="s">
        <v>70</v>
      </c>
      <c r="D119" s="44" t="s">
        <v>384</v>
      </c>
      <c r="E119" s="34">
        <f>F119</f>
        <v>1249.0403999999999</v>
      </c>
      <c r="F119" s="34">
        <f>0.041*12*E2</f>
        <v>1249.0403999999999</v>
      </c>
      <c r="G119" s="34">
        <f>1216.67</f>
        <v>1216.67</v>
      </c>
      <c r="H119" s="32"/>
      <c r="I119" s="32"/>
      <c r="J119" s="32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1" customFormat="1" ht="15.75">
      <c r="A120" s="23"/>
      <c r="B120" s="9" t="s">
        <v>110</v>
      </c>
      <c r="C120" s="9" t="s">
        <v>70</v>
      </c>
      <c r="D120" s="44" t="s">
        <v>27</v>
      </c>
      <c r="E120" s="34"/>
      <c r="F120" s="34"/>
      <c r="G120" s="34"/>
      <c r="H120" s="32"/>
      <c r="I120" s="32"/>
      <c r="J120" s="32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1" customFormat="1" ht="15.75">
      <c r="A121" s="23"/>
      <c r="B121" s="9" t="s">
        <v>67</v>
      </c>
      <c r="C121" s="9" t="s">
        <v>70</v>
      </c>
      <c r="D121" s="44" t="s">
        <v>12</v>
      </c>
      <c r="E121" s="34"/>
      <c r="F121" s="34"/>
      <c r="G121" s="34"/>
      <c r="H121" s="32"/>
      <c r="I121" s="32"/>
      <c r="J121" s="32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1" customFormat="1" ht="15.75">
      <c r="A122" s="23"/>
      <c r="B122" s="9" t="s">
        <v>111</v>
      </c>
      <c r="C122" s="9" t="s">
        <v>76</v>
      </c>
      <c r="D122" s="44">
        <f>E119/E2</f>
        <v>0.492</v>
      </c>
      <c r="E122" s="34"/>
      <c r="F122" s="34"/>
      <c r="G122" s="34"/>
      <c r="H122" s="32"/>
      <c r="I122" s="32"/>
      <c r="J122" s="32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4">
        <f>F124</f>
        <v>2071.5792</v>
      </c>
      <c r="F123" s="34"/>
      <c r="G123" s="34">
        <f>1978.03</f>
        <v>1978.03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4"/>
      <c r="F124" s="34">
        <f>(0.044+0.024)*12*E2</f>
        <v>2071.5792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4">
        <f>E123/E2</f>
        <v>0.8160000000000001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4">
        <f>F127</f>
        <v>21903.903599999998</v>
      </c>
      <c r="F127" s="34">
        <f>(0.077+0.642)*12*E2</f>
        <v>21903.903599999998</v>
      </c>
      <c r="G127" s="34">
        <f>20440.44</f>
        <v>20440.44</v>
      </c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4">
        <f>E127/E2</f>
        <v>8.628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4">
        <f>F131</f>
        <v>17334.243599999998</v>
      </c>
      <c r="F131" s="34">
        <f>(0.301+0.268)*12*E2</f>
        <v>17334.243599999998</v>
      </c>
      <c r="G131" s="34">
        <f>8653.79+5525.38</f>
        <v>14179.170000000002</v>
      </c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4">
        <f>E131/E2</f>
        <v>6.827999999999999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4">
        <f>F135</f>
        <v>8651.889599999999</v>
      </c>
      <c r="F135" s="34">
        <f>0.284*12*E2</f>
        <v>8651.889599999999</v>
      </c>
      <c r="G135" s="34">
        <f>8646.81</f>
        <v>8646.81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4">
        <f>E135/E2</f>
        <v>3.4079999999999995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4">
        <f>F139</f>
        <v>6580.310399999999</v>
      </c>
      <c r="F139" s="34">
        <f>0.216*12*E2</f>
        <v>6580.310399999999</v>
      </c>
      <c r="G139" s="34">
        <f>2508.24</f>
        <v>2508.24</v>
      </c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4">
        <f>E139/E2</f>
        <v>2.592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4">
        <f>F143</f>
        <v>4813.3751999999995</v>
      </c>
      <c r="F143" s="34">
        <f>0.158*12*E2</f>
        <v>4813.3751999999995</v>
      </c>
      <c r="G143" s="34">
        <f>686.97</f>
        <v>686.97</v>
      </c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4">
        <f>E143/E2</f>
        <v>1.896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1" customFormat="1" ht="31.5">
      <c r="A147" s="23" t="s">
        <v>350</v>
      </c>
      <c r="B147" s="9" t="s">
        <v>109</v>
      </c>
      <c r="C147" s="9" t="s">
        <v>70</v>
      </c>
      <c r="D147" s="9" t="s">
        <v>333</v>
      </c>
      <c r="E147" s="34">
        <f>F147</f>
        <v>1736.4708</v>
      </c>
      <c r="F147" s="34">
        <f>0.057*12*E2</f>
        <v>1736.4708</v>
      </c>
      <c r="G147" s="34">
        <f>1733.42</f>
        <v>1733.42</v>
      </c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1" customFormat="1" ht="15.75">
      <c r="A148" s="23" t="s">
        <v>351</v>
      </c>
      <c r="B148" s="9" t="s">
        <v>110</v>
      </c>
      <c r="C148" s="9" t="s">
        <v>70</v>
      </c>
      <c r="D148" s="9" t="s">
        <v>38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1" customFormat="1" ht="15.75">
      <c r="A149" s="23" t="s">
        <v>352</v>
      </c>
      <c r="B149" s="9" t="s">
        <v>67</v>
      </c>
      <c r="C149" s="9" t="s">
        <v>70</v>
      </c>
      <c r="D149" s="9" t="s">
        <v>12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1" customFormat="1" ht="15.75">
      <c r="A150" s="23" t="s">
        <v>353</v>
      </c>
      <c r="B150" s="9" t="s">
        <v>111</v>
      </c>
      <c r="C150" s="9" t="s">
        <v>76</v>
      </c>
      <c r="D150" s="44">
        <f>E147/E2</f>
        <v>0.684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1" customFormat="1" ht="31.5">
      <c r="A151" s="23" t="s">
        <v>354</v>
      </c>
      <c r="B151" s="9" t="s">
        <v>109</v>
      </c>
      <c r="C151" s="9" t="s">
        <v>70</v>
      </c>
      <c r="D151" s="44" t="s">
        <v>332</v>
      </c>
      <c r="E151" s="34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1" customFormat="1" ht="15.75">
      <c r="A152" s="23" t="s">
        <v>355</v>
      </c>
      <c r="B152" s="9" t="s">
        <v>110</v>
      </c>
      <c r="C152" s="9" t="s">
        <v>70</v>
      </c>
      <c r="D152" s="44" t="s">
        <v>34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1" customFormat="1" ht="15.75">
      <c r="A153" s="23" t="s">
        <v>356</v>
      </c>
      <c r="B153" s="9" t="s">
        <v>67</v>
      </c>
      <c r="C153" s="9" t="s">
        <v>70</v>
      </c>
      <c r="D153" s="44" t="s">
        <v>12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1" customFormat="1" ht="15.75">
      <c r="A154" s="23" t="s">
        <v>357</v>
      </c>
      <c r="B154" s="9" t="s">
        <v>111</v>
      </c>
      <c r="C154" s="9" t="s">
        <v>76</v>
      </c>
      <c r="D154" s="44">
        <f>E151/E2</f>
        <v>0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1" customFormat="1" ht="31.5">
      <c r="A155" s="23" t="s">
        <v>358</v>
      </c>
      <c r="B155" s="9" t="s">
        <v>109</v>
      </c>
      <c r="C155" s="9" t="s">
        <v>70</v>
      </c>
      <c r="D155" s="44" t="s">
        <v>334</v>
      </c>
      <c r="E155" s="34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1" customFormat="1" ht="15.75">
      <c r="A156" s="23" t="s">
        <v>359</v>
      </c>
      <c r="B156" s="9" t="s">
        <v>110</v>
      </c>
      <c r="C156" s="9" t="s">
        <v>70</v>
      </c>
      <c r="D156" s="44" t="s">
        <v>27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1" customFormat="1" ht="15.75">
      <c r="A157" s="23" t="s">
        <v>360</v>
      </c>
      <c r="B157" s="9" t="s">
        <v>67</v>
      </c>
      <c r="C157" s="9" t="s">
        <v>70</v>
      </c>
      <c r="D157" s="44" t="s">
        <v>12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1" customFormat="1" ht="15.75">
      <c r="A158" s="23" t="s">
        <v>361</v>
      </c>
      <c r="B158" s="9" t="s">
        <v>111</v>
      </c>
      <c r="C158" s="9" t="s">
        <v>76</v>
      </c>
      <c r="D158" s="44">
        <f>E155/E2</f>
        <v>0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1" customFormat="1" ht="31.5">
      <c r="A159" s="23" t="s">
        <v>362</v>
      </c>
      <c r="B159" s="9" t="s">
        <v>109</v>
      </c>
      <c r="C159" s="9" t="s">
        <v>70</v>
      </c>
      <c r="D159" s="44" t="s">
        <v>331</v>
      </c>
      <c r="E159" s="34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1" customFormat="1" ht="15.75">
      <c r="A160" s="23" t="s">
        <v>363</v>
      </c>
      <c r="B160" s="9" t="s">
        <v>110</v>
      </c>
      <c r="C160" s="9" t="s">
        <v>70</v>
      </c>
      <c r="D160" s="44" t="s">
        <v>27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1" customFormat="1" ht="15.75">
      <c r="A161" s="23" t="s">
        <v>364</v>
      </c>
      <c r="B161" s="9" t="s">
        <v>67</v>
      </c>
      <c r="C161" s="9" t="s">
        <v>70</v>
      </c>
      <c r="D161" s="44" t="s">
        <v>12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1" customFormat="1" ht="15.75">
      <c r="A162" s="23" t="s">
        <v>365</v>
      </c>
      <c r="B162" s="9" t="s">
        <v>111</v>
      </c>
      <c r="C162" s="9" t="s">
        <v>76</v>
      </c>
      <c r="D162" s="44">
        <f>E159/E2</f>
        <v>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1" customFormat="1" ht="31.5">
      <c r="A163" s="23" t="s">
        <v>366</v>
      </c>
      <c r="B163" s="9" t="s">
        <v>109</v>
      </c>
      <c r="C163" s="9" t="s">
        <v>70</v>
      </c>
      <c r="D163" s="9" t="s">
        <v>330</v>
      </c>
      <c r="E163" s="34">
        <v>0</v>
      </c>
      <c r="F163" s="25"/>
      <c r="G163" s="2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1" customFormat="1" ht="15.75">
      <c r="A164" s="23" t="s">
        <v>367</v>
      </c>
      <c r="B164" s="9" t="s">
        <v>110</v>
      </c>
      <c r="C164" s="9" t="s">
        <v>70</v>
      </c>
      <c r="D164" s="9" t="s">
        <v>27</v>
      </c>
      <c r="E164" s="34"/>
      <c r="F164" s="27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1" customFormat="1" ht="15.75">
      <c r="A165" s="23" t="s">
        <v>368</v>
      </c>
      <c r="B165" s="9" t="s">
        <v>67</v>
      </c>
      <c r="C165" s="9" t="s">
        <v>70</v>
      </c>
      <c r="D165" s="9" t="s">
        <v>12</v>
      </c>
      <c r="E165" s="34">
        <v>0</v>
      </c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1" customFormat="1" ht="15.75">
      <c r="A166" s="23" t="s">
        <v>369</v>
      </c>
      <c r="B166" s="9" t="s">
        <v>111</v>
      </c>
      <c r="C166" s="9" t="s">
        <v>76</v>
      </c>
      <c r="D166" s="44">
        <v>0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1" customFormat="1" ht="47.25">
      <c r="A167" s="35" t="s">
        <v>219</v>
      </c>
      <c r="B167" s="20" t="s">
        <v>107</v>
      </c>
      <c r="C167" s="20" t="s">
        <v>70</v>
      </c>
      <c r="D167" s="20" t="s">
        <v>41</v>
      </c>
      <c r="E167" s="2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38">
        <f>E169+E173+E177+E181+E185+E189+E193+E197+E201+E205</f>
        <v>66876.1450776</v>
      </c>
      <c r="E168" s="2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f>(0.099224+0.056127)*12*E2</f>
        <v>4732.6750044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4">
        <f>E169/F169</f>
        <v>4732.6750044</v>
      </c>
      <c r="E172" s="2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1" customFormat="1" ht="31.5">
      <c r="A173" s="23"/>
      <c r="B173" s="9" t="s">
        <v>109</v>
      </c>
      <c r="C173" s="9" t="s">
        <v>70</v>
      </c>
      <c r="D173" s="9" t="s">
        <v>377</v>
      </c>
      <c r="E173" s="33">
        <f>('[4]ук(2016)'!$F$37+'[4]ук(2016)'!$F$41)*12*'[4]ук(2016)'!$F$3+236.69</f>
        <v>8927.2389236</v>
      </c>
      <c r="F173" s="34">
        <v>1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1" customFormat="1" ht="15.75">
      <c r="A176" s="23"/>
      <c r="B176" s="9" t="s">
        <v>111</v>
      </c>
      <c r="C176" s="9" t="s">
        <v>76</v>
      </c>
      <c r="D176" s="44">
        <f>E173/F173</f>
        <v>8927.2389236</v>
      </c>
      <c r="E176" s="2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4">
        <f>F177</f>
        <v>3384.6862331999996</v>
      </c>
      <c r="F177" s="34">
        <f>0.111103*12*E2</f>
        <v>3384.6862331999996</v>
      </c>
      <c r="G177" s="34">
        <v>1048.07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4">
        <f>E177/E2</f>
        <v>1.3332359999999999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4">
        <f>F181</f>
        <v>2198.9508564</v>
      </c>
      <c r="F181" s="34">
        <f>0.072181*12*E2</f>
        <v>2198.9508564</v>
      </c>
      <c r="G181" s="34">
        <v>126.03</v>
      </c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4">
        <f>E181/E2</f>
        <v>0.8661719999999999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4">
        <f>F185</f>
        <v>9718.9661388</v>
      </c>
      <c r="F185" s="34">
        <f>0.319027*12*E2</f>
        <v>9718.9661388</v>
      </c>
      <c r="G185" s="34">
        <v>2425.04</v>
      </c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4">
        <f>E185/E2</f>
        <v>3.8283240000000003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323</v>
      </c>
      <c r="E189" s="34">
        <v>10159.82</v>
      </c>
      <c r="F189" s="34">
        <f>0.174567*12*E2</f>
        <v>5318.078914799999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4">
        <f>E189/E2</f>
        <v>4.001977390002757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1" customFormat="1" ht="31.5">
      <c r="A193" s="23" t="s">
        <v>242</v>
      </c>
      <c r="B193" s="9" t="s">
        <v>109</v>
      </c>
      <c r="C193" s="9" t="s">
        <v>70</v>
      </c>
      <c r="D193" s="9" t="s">
        <v>47</v>
      </c>
      <c r="E193" s="34">
        <v>7782.34</v>
      </c>
      <c r="F193" s="34">
        <f>0.057403*12*E2</f>
        <v>1748.7479532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1" customFormat="1" ht="15.75">
      <c r="A194" s="23" t="s">
        <v>239</v>
      </c>
      <c r="B194" s="9" t="s">
        <v>110</v>
      </c>
      <c r="C194" s="9" t="s">
        <v>70</v>
      </c>
      <c r="D194" s="9" t="s">
        <v>27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1" customFormat="1" ht="15.75">
      <c r="A195" s="23" t="s">
        <v>243</v>
      </c>
      <c r="B195" s="9" t="s">
        <v>67</v>
      </c>
      <c r="C195" s="9" t="s">
        <v>70</v>
      </c>
      <c r="D195" s="9" t="s">
        <v>12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1" customFormat="1" ht="15.75">
      <c r="A196" s="23" t="s">
        <v>244</v>
      </c>
      <c r="B196" s="9" t="s">
        <v>111</v>
      </c>
      <c r="C196" s="9" t="s">
        <v>76</v>
      </c>
      <c r="D196" s="44">
        <f>E193/E2</f>
        <v>3.0654823334777643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1" customFormat="1" ht="31.5">
      <c r="A197" s="23" t="s">
        <v>245</v>
      </c>
      <c r="B197" s="9" t="s">
        <v>109</v>
      </c>
      <c r="C197" s="9" t="s">
        <v>70</v>
      </c>
      <c r="D197" s="9" t="s">
        <v>48</v>
      </c>
      <c r="E197" s="34">
        <f>F197</f>
        <v>4786.6579212</v>
      </c>
      <c r="F197" s="34">
        <f>0.157123*12*E2</f>
        <v>4786.6579212</v>
      </c>
      <c r="G197" s="34">
        <v>204.67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1" customFormat="1" ht="15.75">
      <c r="A198" s="23" t="s">
        <v>246</v>
      </c>
      <c r="B198" s="9" t="s">
        <v>110</v>
      </c>
      <c r="C198" s="9" t="s">
        <v>70</v>
      </c>
      <c r="D198" s="9" t="s">
        <v>27</v>
      </c>
      <c r="E198" s="34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1" customFormat="1" ht="15.75">
      <c r="A199" s="23" t="s">
        <v>247</v>
      </c>
      <c r="B199" s="9" t="s">
        <v>67</v>
      </c>
      <c r="C199" s="9" t="s">
        <v>70</v>
      </c>
      <c r="D199" s="9" t="s">
        <v>12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1" customFormat="1" ht="15.75">
      <c r="A200" s="23" t="s">
        <v>248</v>
      </c>
      <c r="B200" s="9" t="s">
        <v>111</v>
      </c>
      <c r="C200" s="9" t="s">
        <v>76</v>
      </c>
      <c r="D200" s="44">
        <f>E197/E2</f>
        <v>1.885476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1" customFormat="1" ht="31.5">
      <c r="A201" s="23" t="s">
        <v>249</v>
      </c>
      <c r="B201" s="9" t="s">
        <v>109</v>
      </c>
      <c r="C201" s="9" t="s">
        <v>70</v>
      </c>
      <c r="D201" s="9" t="s">
        <v>49</v>
      </c>
      <c r="E201" s="34">
        <v>15184.81</v>
      </c>
      <c r="F201" s="34">
        <f>0.042173*12*E2</f>
        <v>1284.7751411999998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1" customFormat="1" ht="15.75">
      <c r="A202" s="23" t="s">
        <v>250</v>
      </c>
      <c r="B202" s="9" t="s">
        <v>110</v>
      </c>
      <c r="C202" s="9" t="s">
        <v>70</v>
      </c>
      <c r="D202" s="9" t="s">
        <v>27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1" customFormat="1" ht="15.75">
      <c r="A203" s="23" t="s">
        <v>251</v>
      </c>
      <c r="B203" s="9" t="s">
        <v>67</v>
      </c>
      <c r="C203" s="9" t="s">
        <v>70</v>
      </c>
      <c r="D203" s="9" t="s">
        <v>12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1" customFormat="1" ht="15.75">
      <c r="A204" s="23" t="s">
        <v>252</v>
      </c>
      <c r="B204" s="9" t="s">
        <v>111</v>
      </c>
      <c r="C204" s="9" t="s">
        <v>76</v>
      </c>
      <c r="D204" s="44">
        <f>E201/E2</f>
        <v>5.981332965691102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1" customFormat="1" ht="31.5">
      <c r="A205" s="23"/>
      <c r="B205" s="9" t="s">
        <v>109</v>
      </c>
      <c r="C205" s="9" t="s">
        <v>70</v>
      </c>
      <c r="D205" s="44" t="s">
        <v>374</v>
      </c>
      <c r="E205" s="34">
        <v>0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1" customFormat="1" ht="15.75">
      <c r="A206" s="23"/>
      <c r="B206" s="9" t="s">
        <v>110</v>
      </c>
      <c r="C206" s="9" t="s">
        <v>70</v>
      </c>
      <c r="D206" s="44" t="s">
        <v>27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1" customFormat="1" ht="15.75">
      <c r="A207" s="23"/>
      <c r="B207" s="9" t="s">
        <v>67</v>
      </c>
      <c r="C207" s="9" t="s">
        <v>70</v>
      </c>
      <c r="D207" s="44" t="s">
        <v>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1" customFormat="1" ht="15.75">
      <c r="A208" s="23"/>
      <c r="B208" s="9" t="s">
        <v>111</v>
      </c>
      <c r="C208" s="9" t="s">
        <v>76</v>
      </c>
      <c r="D208" s="44">
        <f>E205/E2</f>
        <v>0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1" customFormat="1" ht="47.25">
      <c r="A209" s="35" t="s">
        <v>286</v>
      </c>
      <c r="B209" s="20" t="s">
        <v>107</v>
      </c>
      <c r="C209" s="20" t="s">
        <v>70</v>
      </c>
      <c r="D209" s="20" t="s">
        <v>50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1" customFormat="1" ht="18.75">
      <c r="A210" s="23" t="s">
        <v>253</v>
      </c>
      <c r="B210" s="9" t="s">
        <v>108</v>
      </c>
      <c r="C210" s="9" t="s">
        <v>76</v>
      </c>
      <c r="D210" s="9">
        <f>E211+E215+E219+E223+E227+E231+E235+E239+E243+E247</f>
        <v>30901.093205999994</v>
      </c>
      <c r="E210" s="34"/>
      <c r="F210" s="28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1" customFormat="1" ht="31.5">
      <c r="A211" s="23" t="s">
        <v>254</v>
      </c>
      <c r="B211" s="9" t="s">
        <v>109</v>
      </c>
      <c r="C211" s="9" t="s">
        <v>70</v>
      </c>
      <c r="D211" s="9" t="s">
        <v>51</v>
      </c>
      <c r="E211" s="34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1" customFormat="1" ht="15.75">
      <c r="A212" s="23" t="s">
        <v>282</v>
      </c>
      <c r="B212" s="9" t="s">
        <v>110</v>
      </c>
      <c r="C212" s="9" t="s">
        <v>70</v>
      </c>
      <c r="D212" s="9" t="s">
        <v>27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1" customFormat="1" ht="15.75">
      <c r="A213" s="23" t="s">
        <v>255</v>
      </c>
      <c r="B213" s="9" t="s">
        <v>67</v>
      </c>
      <c r="C213" s="9" t="s">
        <v>70</v>
      </c>
      <c r="D213" s="9" t="s">
        <v>12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1" customFormat="1" ht="15.75">
      <c r="A214" s="23" t="s">
        <v>256</v>
      </c>
      <c r="B214" s="9" t="s">
        <v>111</v>
      </c>
      <c r="C214" s="9" t="s">
        <v>76</v>
      </c>
      <c r="D214" s="9">
        <v>0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1" customFormat="1" ht="31.5">
      <c r="A215" s="23" t="s">
        <v>257</v>
      </c>
      <c r="B215" s="9" t="s">
        <v>109</v>
      </c>
      <c r="C215" s="9" t="s">
        <v>70</v>
      </c>
      <c r="D215" s="9" t="s">
        <v>53</v>
      </c>
      <c r="E215" s="34">
        <f>F215</f>
        <v>5672.1971004</v>
      </c>
      <c r="F215" s="34">
        <f>0.186191*12*E2</f>
        <v>5672.1971004</v>
      </c>
      <c r="G215" s="34">
        <v>0</v>
      </c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1" customFormat="1" ht="15.75">
      <c r="A216" s="23" t="s">
        <v>258</v>
      </c>
      <c r="B216" s="9" t="s">
        <v>110</v>
      </c>
      <c r="C216" s="9" t="s">
        <v>70</v>
      </c>
      <c r="D216" s="9" t="s">
        <v>27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1" customFormat="1" ht="15.75">
      <c r="A217" s="23" t="s">
        <v>259</v>
      </c>
      <c r="B217" s="9" t="s">
        <v>67</v>
      </c>
      <c r="C217" s="9" t="s">
        <v>70</v>
      </c>
      <c r="D217" s="9" t="s">
        <v>12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1" customFormat="1" ht="15.75">
      <c r="A218" s="23" t="s">
        <v>260</v>
      </c>
      <c r="B218" s="9" t="s">
        <v>111</v>
      </c>
      <c r="C218" s="9" t="s">
        <v>76</v>
      </c>
      <c r="D218" s="44">
        <f>E215/E2</f>
        <v>2.234292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1" customFormat="1" ht="31.5">
      <c r="A219" s="23" t="s">
        <v>261</v>
      </c>
      <c r="B219" s="9" t="s">
        <v>109</v>
      </c>
      <c r="C219" s="9" t="s">
        <v>70</v>
      </c>
      <c r="D219" s="9" t="s">
        <v>52</v>
      </c>
      <c r="E219" s="34">
        <f>F219</f>
        <v>4374.6269112</v>
      </c>
      <c r="F219" s="34">
        <f>0.143598*12*E2</f>
        <v>4374.6269112</v>
      </c>
      <c r="G219" s="34">
        <v>0</v>
      </c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1" customFormat="1" ht="15.75">
      <c r="A220" s="23" t="s">
        <v>262</v>
      </c>
      <c r="B220" s="9" t="s">
        <v>110</v>
      </c>
      <c r="C220" s="9" t="s">
        <v>70</v>
      </c>
      <c r="D220" s="9" t="s">
        <v>27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1" customFormat="1" ht="15.75">
      <c r="A221" s="23" t="s">
        <v>263</v>
      </c>
      <c r="B221" s="9" t="s">
        <v>67</v>
      </c>
      <c r="C221" s="9" t="s">
        <v>70</v>
      </c>
      <c r="D221" s="9" t="s">
        <v>12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1" customFormat="1" ht="15.75">
      <c r="A222" s="23" t="s">
        <v>264</v>
      </c>
      <c r="B222" s="9" t="s">
        <v>111</v>
      </c>
      <c r="C222" s="9" t="s">
        <v>76</v>
      </c>
      <c r="D222" s="9">
        <v>0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1" customFormat="1" ht="31.5">
      <c r="A223" s="23" t="s">
        <v>265</v>
      </c>
      <c r="B223" s="9" t="s">
        <v>109</v>
      </c>
      <c r="C223" s="9" t="s">
        <v>70</v>
      </c>
      <c r="D223" s="9" t="s">
        <v>287</v>
      </c>
      <c r="E223" s="34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1" customFormat="1" ht="15.75">
      <c r="A224" s="23" t="s">
        <v>266</v>
      </c>
      <c r="B224" s="9" t="s">
        <v>110</v>
      </c>
      <c r="C224" s="9" t="s">
        <v>70</v>
      </c>
      <c r="D224" s="9" t="s">
        <v>27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1" customFormat="1" ht="15.75">
      <c r="A225" s="23" t="s">
        <v>267</v>
      </c>
      <c r="B225" s="9" t="s">
        <v>67</v>
      </c>
      <c r="C225" s="9" t="s">
        <v>70</v>
      </c>
      <c r="D225" s="9" t="s">
        <v>12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1" customFormat="1" ht="15.75">
      <c r="A226" s="23" t="s">
        <v>268</v>
      </c>
      <c r="B226" s="9" t="s">
        <v>111</v>
      </c>
      <c r="C226" s="9" t="s">
        <v>76</v>
      </c>
      <c r="D226" s="9">
        <v>0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1" customFormat="1" ht="31.5">
      <c r="A227" s="23" t="s">
        <v>375</v>
      </c>
      <c r="B227" s="9" t="s">
        <v>109</v>
      </c>
      <c r="C227" s="9" t="s">
        <v>70</v>
      </c>
      <c r="D227" s="9" t="s">
        <v>335</v>
      </c>
      <c r="E227" s="34">
        <f>F227</f>
        <v>2049.7666895999996</v>
      </c>
      <c r="F227" s="34">
        <f>0.067284*12*E2</f>
        <v>2049.7666895999996</v>
      </c>
      <c r="G227" s="34">
        <v>0</v>
      </c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1" customFormat="1" ht="15.75">
      <c r="A228" s="23" t="s">
        <v>269</v>
      </c>
      <c r="B228" s="9" t="s">
        <v>110</v>
      </c>
      <c r="C228" s="9" t="s">
        <v>70</v>
      </c>
      <c r="D228" s="9" t="s">
        <v>27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1" customFormat="1" ht="15.75">
      <c r="A229" s="23" t="s">
        <v>270</v>
      </c>
      <c r="B229" s="9" t="s">
        <v>67</v>
      </c>
      <c r="C229" s="9" t="s">
        <v>70</v>
      </c>
      <c r="D229" s="9" t="s">
        <v>12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1" customFormat="1" ht="15.75">
      <c r="A230" s="23" t="s">
        <v>271</v>
      </c>
      <c r="B230" s="9" t="s">
        <v>111</v>
      </c>
      <c r="C230" s="9" t="s">
        <v>76</v>
      </c>
      <c r="D230" s="44">
        <f>E227/E2</f>
        <v>0.8074079999999999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1" customFormat="1" ht="31.5">
      <c r="A231" s="23" t="s">
        <v>272</v>
      </c>
      <c r="B231" s="9" t="s">
        <v>109</v>
      </c>
      <c r="C231" s="9" t="s">
        <v>70</v>
      </c>
      <c r="D231" s="9" t="s">
        <v>1</v>
      </c>
      <c r="E231" s="34">
        <f>F231</f>
        <v>17746.792504799996</v>
      </c>
      <c r="F231" s="34">
        <f>0.582542*12*E2</f>
        <v>17746.792504799996</v>
      </c>
      <c r="G231" s="34">
        <v>0</v>
      </c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1" customFormat="1" ht="15.75">
      <c r="A232" s="23" t="s">
        <v>273</v>
      </c>
      <c r="B232" s="9" t="s">
        <v>110</v>
      </c>
      <c r="C232" s="9" t="s">
        <v>70</v>
      </c>
      <c r="D232" s="9" t="s">
        <v>27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1" customFormat="1" ht="15.75">
      <c r="A233" s="23" t="s">
        <v>274</v>
      </c>
      <c r="B233" s="9" t="s">
        <v>67</v>
      </c>
      <c r="C233" s="9" t="s">
        <v>70</v>
      </c>
      <c r="D233" s="9" t="s">
        <v>12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1" customFormat="1" ht="15.75">
      <c r="A234" s="23" t="s">
        <v>275</v>
      </c>
      <c r="B234" s="9" t="s">
        <v>111</v>
      </c>
      <c r="C234" s="9" t="s">
        <v>76</v>
      </c>
      <c r="D234" s="44">
        <f>E231/E2</f>
        <v>6.990503999999999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1" customFormat="1" ht="31.5">
      <c r="A235" s="23" t="s">
        <v>276</v>
      </c>
      <c r="B235" s="9" t="s">
        <v>109</v>
      </c>
      <c r="C235" s="9" t="s">
        <v>70</v>
      </c>
      <c r="D235" s="9" t="s">
        <v>0</v>
      </c>
      <c r="E235" s="34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1" customFormat="1" ht="15.75">
      <c r="A236" s="23" t="s">
        <v>277</v>
      </c>
      <c r="B236" s="9" t="s">
        <v>110</v>
      </c>
      <c r="C236" s="9" t="s">
        <v>70</v>
      </c>
      <c r="D236" s="9" t="s">
        <v>27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1" customFormat="1" ht="15.75">
      <c r="A237" s="23" t="s">
        <v>278</v>
      </c>
      <c r="B237" s="9" t="s">
        <v>67</v>
      </c>
      <c r="C237" s="9" t="s">
        <v>70</v>
      </c>
      <c r="D237" s="9" t="s">
        <v>12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1" customFormat="1" ht="15.75">
      <c r="A238" s="23" t="s">
        <v>279</v>
      </c>
      <c r="B238" s="9" t="s">
        <v>111</v>
      </c>
      <c r="C238" s="9" t="s">
        <v>76</v>
      </c>
      <c r="D238" s="44">
        <f>E235/E2</f>
        <v>0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1" customFormat="1" ht="31.5">
      <c r="A239" s="23" t="s">
        <v>281</v>
      </c>
      <c r="B239" s="9" t="s">
        <v>109</v>
      </c>
      <c r="C239" s="9" t="s">
        <v>70</v>
      </c>
      <c r="D239" s="9" t="s">
        <v>54</v>
      </c>
      <c r="E239" s="34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1" customFormat="1" ht="15.75">
      <c r="A240" s="23" t="s">
        <v>283</v>
      </c>
      <c r="B240" s="9" t="s">
        <v>110</v>
      </c>
      <c r="C240" s="9" t="s">
        <v>70</v>
      </c>
      <c r="D240" s="9" t="s">
        <v>27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1" customFormat="1" ht="15.75">
      <c r="A241" s="23" t="s">
        <v>284</v>
      </c>
      <c r="B241" s="9" t="s">
        <v>67</v>
      </c>
      <c r="C241" s="9" t="s">
        <v>70</v>
      </c>
      <c r="D241" s="9" t="s">
        <v>12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1" customFormat="1" ht="15.75">
      <c r="A242" s="23" t="s">
        <v>285</v>
      </c>
      <c r="B242" s="9" t="s">
        <v>111</v>
      </c>
      <c r="C242" s="9" t="s">
        <v>76</v>
      </c>
      <c r="D242" s="44">
        <f>E239/E2</f>
        <v>0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1" customFormat="1" ht="31.5">
      <c r="A243" s="23" t="s">
        <v>288</v>
      </c>
      <c r="B243" s="9" t="s">
        <v>109</v>
      </c>
      <c r="C243" s="9" t="s">
        <v>70</v>
      </c>
      <c r="D243" s="9" t="s">
        <v>55</v>
      </c>
      <c r="E243" s="34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1" customFormat="1" ht="15.75">
      <c r="A244" s="23" t="s">
        <v>289</v>
      </c>
      <c r="B244" s="9" t="s">
        <v>110</v>
      </c>
      <c r="C244" s="9" t="s">
        <v>70</v>
      </c>
      <c r="D244" s="9" t="s">
        <v>27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1" customFormat="1" ht="15.75">
      <c r="A245" s="23" t="s">
        <v>290</v>
      </c>
      <c r="B245" s="9" t="s">
        <v>67</v>
      </c>
      <c r="C245" s="9" t="s">
        <v>70</v>
      </c>
      <c r="D245" s="9" t="s">
        <v>12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1" customFormat="1" ht="15.75">
      <c r="A246" s="23" t="s">
        <v>291</v>
      </c>
      <c r="B246" s="9" t="s">
        <v>111</v>
      </c>
      <c r="C246" s="9" t="s">
        <v>76</v>
      </c>
      <c r="D246" s="44">
        <f>E243/E2</f>
        <v>0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1" customFormat="1" ht="31.5">
      <c r="A247" s="23" t="s">
        <v>370</v>
      </c>
      <c r="B247" s="9" t="s">
        <v>109</v>
      </c>
      <c r="C247" s="9" t="s">
        <v>70</v>
      </c>
      <c r="D247" s="9" t="s">
        <v>56</v>
      </c>
      <c r="E247" s="34">
        <v>1057.71</v>
      </c>
      <c r="F247" s="34">
        <f>0.2*100</f>
        <v>20</v>
      </c>
      <c r="G247" s="34">
        <f>0.000835*12*E2</f>
        <v>25.437774</v>
      </c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1" customFormat="1" ht="15.75">
      <c r="A248" s="23" t="s">
        <v>371</v>
      </c>
      <c r="B248" s="9" t="s">
        <v>110</v>
      </c>
      <c r="C248" s="9" t="s">
        <v>70</v>
      </c>
      <c r="D248" s="9" t="s">
        <v>27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1" customFormat="1" ht="15.75">
      <c r="A249" s="23" t="s">
        <v>372</v>
      </c>
      <c r="B249" s="9" t="s">
        <v>67</v>
      </c>
      <c r="C249" s="9" t="s">
        <v>70</v>
      </c>
      <c r="D249" s="9" t="s">
        <v>324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1" customFormat="1" ht="15.75">
      <c r="A250" s="23" t="s">
        <v>373</v>
      </c>
      <c r="B250" s="9" t="s">
        <v>111</v>
      </c>
      <c r="C250" s="9" t="s">
        <v>76</v>
      </c>
      <c r="D250" s="44">
        <f>E247/F247</f>
        <v>52.8855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1" customFormat="1" ht="15.75">
      <c r="A251" s="23"/>
      <c r="B251" s="20" t="s">
        <v>280</v>
      </c>
      <c r="C251" s="9" t="s">
        <v>76</v>
      </c>
      <c r="D251" s="29">
        <f>SUM(D90,D28,D34,D60,D66,D72,D84,D100,D110,D168,D210,D78)</f>
        <v>322957.2955795999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48" t="s">
        <v>292</v>
      </c>
      <c r="B252" s="48"/>
      <c r="C252" s="48"/>
      <c r="D252" s="48"/>
    </row>
    <row r="253" spans="1:4" ht="15.75">
      <c r="A253" s="7" t="s">
        <v>293</v>
      </c>
      <c r="B253" s="8" t="s">
        <v>294</v>
      </c>
      <c r="C253" s="8" t="s">
        <v>295</v>
      </c>
      <c r="D253" s="46">
        <f>'[1]Управл 2017'!$AA$49</f>
        <v>8</v>
      </c>
    </row>
    <row r="254" spans="1:4" ht="15.75">
      <c r="A254" s="7" t="s">
        <v>296</v>
      </c>
      <c r="B254" s="8" t="s">
        <v>297</v>
      </c>
      <c r="C254" s="8" t="s">
        <v>295</v>
      </c>
      <c r="D254" s="46">
        <f>'[1]Управл 2017'!$AB$49</f>
        <v>8</v>
      </c>
    </row>
    <row r="255" spans="1:4" ht="15.75">
      <c r="A255" s="7" t="s">
        <v>298</v>
      </c>
      <c r="B255" s="8" t="s">
        <v>299</v>
      </c>
      <c r="C255" s="8" t="s">
        <v>295</v>
      </c>
      <c r="D255" s="8">
        <v>0</v>
      </c>
    </row>
    <row r="256" spans="1:4" ht="15.75">
      <c r="A256" s="7" t="s">
        <v>300</v>
      </c>
      <c r="B256" s="8" t="s">
        <v>301</v>
      </c>
      <c r="C256" s="8" t="s">
        <v>76</v>
      </c>
      <c r="D256" s="40">
        <f>'[1]Управл 2017'!$AD$49</f>
        <v>-34713.69</v>
      </c>
    </row>
    <row r="257" spans="1:4" ht="15.75">
      <c r="A257" s="48" t="s">
        <v>302</v>
      </c>
      <c r="B257" s="48"/>
      <c r="C257" s="48"/>
      <c r="D257" s="48"/>
    </row>
    <row r="258" spans="1:5" ht="15.75">
      <c r="A258" s="7" t="s">
        <v>303</v>
      </c>
      <c r="B258" s="8" t="s">
        <v>75</v>
      </c>
      <c r="C258" s="8" t="s">
        <v>76</v>
      </c>
      <c r="D258" s="8">
        <v>0</v>
      </c>
      <c r="E258" s="3" t="s">
        <v>376</v>
      </c>
    </row>
    <row r="259" spans="1:5" ht="15.75">
      <c r="A259" s="7" t="s">
        <v>304</v>
      </c>
      <c r="B259" s="8" t="s">
        <v>77</v>
      </c>
      <c r="C259" s="8" t="s">
        <v>76</v>
      </c>
      <c r="D259" s="8">
        <v>0</v>
      </c>
      <c r="E259" s="3" t="s">
        <v>376</v>
      </c>
    </row>
    <row r="260" spans="1:5" ht="15.75">
      <c r="A260" s="7" t="s">
        <v>305</v>
      </c>
      <c r="B260" s="8" t="s">
        <v>79</v>
      </c>
      <c r="C260" s="8" t="s">
        <v>76</v>
      </c>
      <c r="D260" s="8">
        <v>0</v>
      </c>
      <c r="E260" s="3" t="s">
        <v>376</v>
      </c>
    </row>
    <row r="261" spans="1:5" ht="15.75">
      <c r="A261" s="7" t="s">
        <v>306</v>
      </c>
      <c r="B261" s="8" t="s">
        <v>102</v>
      </c>
      <c r="C261" s="8" t="s">
        <v>76</v>
      </c>
      <c r="D261" s="8">
        <v>0</v>
      </c>
      <c r="E261" s="3" t="s">
        <v>376</v>
      </c>
    </row>
    <row r="262" spans="1:5" ht="15.75">
      <c r="A262" s="7" t="s">
        <v>307</v>
      </c>
      <c r="B262" s="8" t="s">
        <v>308</v>
      </c>
      <c r="C262" s="8" t="s">
        <v>76</v>
      </c>
      <c r="D262" s="8">
        <v>0</v>
      </c>
      <c r="E262" s="3" t="s">
        <v>376</v>
      </c>
    </row>
    <row r="263" spans="1:5" ht="15.75">
      <c r="A263" s="7" t="s">
        <v>309</v>
      </c>
      <c r="B263" s="8" t="s">
        <v>104</v>
      </c>
      <c r="C263" s="8" t="s">
        <v>76</v>
      </c>
      <c r="D263" s="8">
        <v>0</v>
      </c>
      <c r="E263" s="3" t="s">
        <v>376</v>
      </c>
    </row>
    <row r="264" spans="1:4" ht="15.75">
      <c r="A264" s="48" t="s">
        <v>310</v>
      </c>
      <c r="B264" s="48"/>
      <c r="C264" s="48"/>
      <c r="D264" s="48"/>
    </row>
    <row r="265" spans="1:4" ht="15.75">
      <c r="A265" s="7" t="s">
        <v>311</v>
      </c>
      <c r="B265" s="8" t="s">
        <v>294</v>
      </c>
      <c r="C265" s="8" t="s">
        <v>295</v>
      </c>
      <c r="D265" s="8">
        <v>0</v>
      </c>
    </row>
    <row r="266" spans="1:4" ht="15.75">
      <c r="A266" s="7" t="s">
        <v>312</v>
      </c>
      <c r="B266" s="8" t="s">
        <v>297</v>
      </c>
      <c r="C266" s="8" t="s">
        <v>295</v>
      </c>
      <c r="D266" s="8">
        <v>0</v>
      </c>
    </row>
    <row r="267" spans="1:4" ht="15.75">
      <c r="A267" s="7" t="s">
        <v>313</v>
      </c>
      <c r="B267" s="8" t="s">
        <v>314</v>
      </c>
      <c r="C267" s="8" t="s">
        <v>295</v>
      </c>
      <c r="D267" s="8">
        <v>0</v>
      </c>
    </row>
    <row r="268" spans="1:4" ht="15.75">
      <c r="A268" s="7" t="s">
        <v>315</v>
      </c>
      <c r="B268" s="8" t="s">
        <v>301</v>
      </c>
      <c r="C268" s="8" t="s">
        <v>76</v>
      </c>
      <c r="D268" s="8">
        <v>0</v>
      </c>
    </row>
    <row r="269" spans="1:4" ht="15.75">
      <c r="A269" s="48" t="s">
        <v>316</v>
      </c>
      <c r="B269" s="48"/>
      <c r="C269" s="48"/>
      <c r="D269" s="48"/>
    </row>
    <row r="270" spans="1:4" ht="15.75">
      <c r="A270" s="7" t="s">
        <v>317</v>
      </c>
      <c r="B270" s="8" t="s">
        <v>318</v>
      </c>
      <c r="C270" s="8" t="s">
        <v>295</v>
      </c>
      <c r="D270" s="8">
        <v>3</v>
      </c>
    </row>
    <row r="271" spans="1:4" ht="15.75">
      <c r="A271" s="7" t="s">
        <v>319</v>
      </c>
      <c r="B271" s="8" t="s">
        <v>320</v>
      </c>
      <c r="C271" s="8" t="s">
        <v>295</v>
      </c>
      <c r="D271" s="8">
        <v>4</v>
      </c>
    </row>
    <row r="272" spans="1:5" ht="31.5">
      <c r="A272" s="7" t="s">
        <v>321</v>
      </c>
      <c r="B272" s="8" t="s">
        <v>322</v>
      </c>
      <c r="C272" s="8" t="s">
        <v>76</v>
      </c>
      <c r="D272" s="8">
        <v>28974.95</v>
      </c>
      <c r="E272" s="3" t="s">
        <v>378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2019-03-30T12:36:30Z</dcterms:modified>
  <cp:category/>
  <cp:version/>
  <cp:contentType/>
  <cp:contentStatus/>
</cp:coreProperties>
</file>